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<sst xmlns="http://schemas.openxmlformats.org/spreadsheetml/2006/main" count="17932" uniqueCount="5066">
  <si>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</si>
  <si>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</si>
  <si>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</si>
  <si>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</si>
  <si>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</si>
  <si>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</si>
  <si>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</si>
  <si>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</si>
  <si>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</si>
  <si>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</si>
  <si>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</si>
  <si>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</si>
  <si>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</si>
  <si>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</si>
  <si>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</si>
  <si>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</si>
  <si>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</si>
  <si>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</si>
  <si>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</si>
  <si>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</si>
  <si>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</si>
  <si>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</si>
  <si>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</si>
  <si>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</si>
  <si>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</si>
  <si>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</si>
  <si>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</si>
  <si>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</si>
  <si>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</si>
  <si>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</si>
  <si>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</si>
  <si>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</si>
  <si>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</si>
  <si>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</si>
  <si>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</si>
  <si>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</si>
  <si>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</si>
  <si>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</si>
  <si>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</si>
  <si>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</si>
  <si>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</si>
  <si>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</si>
  <si>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</si>
  <si>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</si>
  <si>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</si>
  <si>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</si>
  <si>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</si>
  <si>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</si>
  <si>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</si>
  <si>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</si>
  <si>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</si>
  <si>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</si>
  <si>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</si>
  <si>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</si>
  <si>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</si>
  <si>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</si>
  <si>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</si>
  <si>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</si>
  <si>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</si>
  <si>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</si>
  <si>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</si>
  <si>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</si>
  <si>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</si>
  <si>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</si>
  <si>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</si>
  <si>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</si>
  <si>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</si>
  <si>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</si>
  <si>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</si>
  <si>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</si>
  <si>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</si>
  <si>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</si>
  <si>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</si>
  <si>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</si>
  <si>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</si>
  <si>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</si>
  <si>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</si>
  <si>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</si>
  <si>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</si>
  <si>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</si>
  <si>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</si>
  <si>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</si>
  <si>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</si>
  <si>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</si>
  <si>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</si>
  <si>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</si>
  <si>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</si>
  <si>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</si>
  <si>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</si>
  <si>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</si>
  <si>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</si>
  <si>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</si>
  <si>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</si>
  <si>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</si>
  <si>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</si>
  <si>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</si>
  <si>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</si>
  <si>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</si>
  <si>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</si>
  <si>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</si>
  <si>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</si>
  <si>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</si>
  <si>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</si>
  <si>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</si>
  <si>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</si>
  <si>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</si>
  <si>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</si>
  <si>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</si>
  <si>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</si>
  <si>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</si>
  <si>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</si>
  <si>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</si>
  <si>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</si>
  <si>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</si>
  <si>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</si>
  <si>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</si>
  <si>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</si>
  <si>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</si>
  <si>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</si>
  <si>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</si>
  <si>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</si>
  <si>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</si>
  <si>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</si>
  <si>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</si>
  <si>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</si>
  <si>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</si>
  <si>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</si>
  <si>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</si>
  <si>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</si>
  <si>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</si>
  <si>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</si>
  <si>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</si>
  <si>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</si>
  <si>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</si>
  <si>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</si>
  <si>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</si>
  <si>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</si>
  <si>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</si>
  <si>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</si>
  <si>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</si>
  <si>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</si>
  <si>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</si>
  <si>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</si>
  <si>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</si>
  <si>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</si>
  <si>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</si>
  <si>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</si>
  <si>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</si>
  <si>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</si>
  <si>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</si>
  <si>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</si>
  <si>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</si>
  <si>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</si>
  <si>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</si>
  <si>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</si>
  <si>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</si>
  <si>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</si>
  <si>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</si>
  <si>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</si>
  <si>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</si>
  <si>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</si>
  <si>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</si>
  <si>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</si>
  <si>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</si>
  <si>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</si>
  <si>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</si>
  <si>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</si>
  <si>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</si>
  <si>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</si>
  <si>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</si>
  <si>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</si>
  <si>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</si>
  <si>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</si>
  <si>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</si>
  <si>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</si>
  <si>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</si>
  <si>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</si>
  <si>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</si>
  <si>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</si>
  <si>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</si>
  <si>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</si>
  <si>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</si>
  <si>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</si>
  <si>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</si>
  <si>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</si>
  <si>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</si>
  <si>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</si>
  <si>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</si>
  <si>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</si>
  <si>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</si>
  <si>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</si>
  <si>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</si>
  <si>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</si>
  <si>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</si>
  <si>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</si>
  <si>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</si>
  <si>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</si>
  <si>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</si>
  <si>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</si>
  <si>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</si>
  <si>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</si>
  <si>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</si>
  <si>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</si>
  <si>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</si>
  <si>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</si>
  <si>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</si>
  <si>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</si>
  <si>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</si>
  <si>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</si>
  <si>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</si>
  <si>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</si>
  <si>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UCOR5bbNuL0BDdtWKKj4JJaw</t>
  </si>
  <si>
    <t>UCi5-Pht3ow3fVTJcq8GYg5Q</t>
  </si>
  <si>
    <t>UCbtzibf6Cd_3XCIA11XUGzA</t>
  </si>
  <si>
    <t>UC2Za2kvHb1GmLVdE_A2QXTg</t>
  </si>
  <si>
    <t>UCwnwSYoa9mjqUeDODn4HGGQ</t>
  </si>
  <si>
    <t>UCwFf6aCkeYUqOVUTLro1q4w</t>
  </si>
  <si>
    <t>UCQctaGwmpjuRTRxg25XbFqw</t>
  </si>
  <si>
    <t>UCWtXNusqftQxTfVCZJzrnvQ</t>
  </si>
  <si>
    <t>UCCHJwPgdvjFI99R2XgCjjkg</t>
  </si>
  <si>
    <t>UCo3rhT0Yf7mVKzS_Nu1AYDw</t>
  </si>
  <si>
    <t>UC02YloMhXdpTsLbE6VkR03g</t>
  </si>
  <si>
    <t>UCs0oKb6jfcvqSGd-Je8auEA</t>
  </si>
  <si>
    <t>UC8_5BxlcwxZu1Ie8bJztjVQ</t>
  </si>
  <si>
    <t>UCBSANExi0TPaR1NWSGDIY_Q</t>
  </si>
  <si>
    <t>UCrnBoTO9TuOVbojI0U-NJKg</t>
  </si>
  <si>
    <t>UCyeWPm88kJI4G2GII8CJ3RA</t>
  </si>
  <si>
    <t>UCuDlfwYNwOn2xDARL7UswqQ</t>
  </si>
  <si>
    <t>UCR8nQZXzi-UlgIth7iYPsLw</t>
  </si>
  <si>
    <t>UCpJG6S3kmz2SG6L5f32SOnA</t>
  </si>
  <si>
    <t>UC3suBN8-qChSFy0N2ZRlyNQ</t>
  </si>
  <si>
    <t>UCFWUi7dexG5_g8HhQL9lR_w</t>
  </si>
  <si>
    <t>UC_mFLQSUJkPGciwaJSwzesQ</t>
  </si>
  <si>
    <t>UCC-EgqxVX10tdLUZINlH1ag</t>
  </si>
  <si>
    <t>UCb5iYG7eeSaR7QAGBW-oT5g</t>
  </si>
  <si>
    <t>UCEv2sm2JJ3mT1md7jRdw2Mg</t>
  </si>
  <si>
    <t>UCCUmH1l5Mc2n2BvBAc8TiiA</t>
  </si>
  <si>
    <t>UCz8ck3EFdRnJlQVmjeUpXog</t>
  </si>
  <si>
    <t>UC4nOxcy61lAMtv8hDE76gNw</t>
  </si>
  <si>
    <t>UCPHOiPD-UZkhTZ8EqYfvrMA</t>
  </si>
  <si>
    <t>UCeE9tUuXb-Af5Z0htAbhW1A</t>
  </si>
  <si>
    <t>UCxF1aj-PYla8B3Hnw8jCW_g</t>
  </si>
  <si>
    <t>UCOm3-spPyN5DgxlzuCQjMmQ</t>
  </si>
  <si>
    <t>UCbukuarSw90PQz-cPQXG0BA</t>
  </si>
  <si>
    <t>UCci2zv9MyHCZbNxAZ9qzxtw</t>
  </si>
  <si>
    <t>UC81qivdOLC9MX1iyo6gFnEQ</t>
  </si>
  <si>
    <t>UCB08afI6J-z32bLToQ00Lig</t>
  </si>
  <si>
    <t>UCjlXQpFZHYRad1bWonvF-iw</t>
  </si>
  <si>
    <t>UCUymqr1H75NBt3R_Kepq9mg</t>
  </si>
  <si>
    <t>UCW8mXbeRxqKBuwr0ff_lK6A</t>
  </si>
  <si>
    <t>UC2uoVyPVdV1SG-HJejXHrHw</t>
  </si>
  <si>
    <t>UCWWt6acTTjrHd7XZewFu9tg</t>
  </si>
  <si>
    <t>UCOOSkOE_VGhdDbLHUYNdAZA</t>
  </si>
  <si>
    <t>UCYRL6kOf4mR3DpkikwgJOBw</t>
  </si>
  <si>
    <t>UC-bSGTu31rUMzINLD3EIF-g</t>
  </si>
  <si>
    <t>UCkPd8jucn5-zKLzPxIwrQHQ</t>
  </si>
  <si>
    <t>UCfEZ2T9kZNxSaT8kwrdvESA</t>
  </si>
  <si>
    <t>UCi_Gjw8prQ0L_mZDLnJFqiw</t>
  </si>
  <si>
    <t>UCSvECkboYAtQTvv3MW_cxVQ</t>
  </si>
  <si>
    <t>UCZwuPYeQu5eXyRWFmVrmZyA</t>
  </si>
  <si>
    <t>UCWFT9C9aSZPZ_1lyTGsTMJw</t>
  </si>
  <si>
    <t>UCiNa7yDepQw78yq27hNkdPw</t>
  </si>
  <si>
    <t>UCHz7xvmc0e2lRryCV7RSoIw</t>
  </si>
  <si>
    <t>UCbZmyPbbhbj_CWJ0pTqqBiQ</t>
  </si>
  <si>
    <t>UCogxbeiFyaHMpptIijqbpdg</t>
  </si>
  <si>
    <t>UCBPu2lZKL7DrHPfsIKfJakA</t>
  </si>
  <si>
    <t>UClzRHz4TVukcAYyYvaL0jTA</t>
  </si>
  <si>
    <t>UCRush-ISVwWdtDCdsH2y4UA</t>
  </si>
  <si>
    <t>UC2bUDIMGYGfJkz7BuC6lBUA</t>
  </si>
  <si>
    <t>UCDhi8KBbeMJTecZKFjzWOBw</t>
  </si>
  <si>
    <t>UCgga2sAhcs6ycsHwzWAYkig</t>
  </si>
  <si>
    <t>UChDKmyCeNolPtR0jQVDEkCg</t>
  </si>
  <si>
    <t>UChdhftUxKH7pDMCcmYVFMfQ</t>
  </si>
  <si>
    <t>UCmZ3N80NHmP_3QlE4hluhVg</t>
  </si>
  <si>
    <t>UC-8tmIcaoZnzZPhFs-iGERQ</t>
  </si>
  <si>
    <t>UC-3y5qLmMNxPm_KEVJnwbMA</t>
  </si>
  <si>
    <t>UCcyTgxpW2pVRXW_TjRuT8pQ</t>
  </si>
  <si>
    <t>UCgTqMedX0BlGte8ZTAYz6XA</t>
  </si>
  <si>
    <t>UCoVp0s1bMO55r1aWuPYes4A</t>
  </si>
  <si>
    <t>UC1KLrjn_ZKgSYLLe7WDdSqA</t>
  </si>
  <si>
    <t>UCb3bemk_IVeEOhOSrPrUolQ</t>
  </si>
  <si>
    <t>UCzpyn_JCCYCjsdWC8E0UDag</t>
  </si>
  <si>
    <t>UC0twXK1mKrWYkCv9B0_dnKg</t>
  </si>
  <si>
    <t>UCMWGGmBVTeoQWR7Z5FdA6jg</t>
  </si>
  <si>
    <t>UCQxhDTqT51NGwDSzkme6XPw</t>
  </si>
  <si>
    <t>UCm0hEJxQo_2Nk9tIWmAbLWA</t>
  </si>
  <si>
    <t>UCvwt05p4825oOEKPJdpZ_Dg</t>
  </si>
  <si>
    <t>UCijSB9YT9E3EvVJzTcSU9TQ</t>
  </si>
  <si>
    <t>UCvzWdfNMZjMrxp1j4W3v3yg</t>
  </si>
  <si>
    <t>UCLUy8FkvhOY7aKhXpWlbnUg</t>
  </si>
  <si>
    <t>UCsCGZxNee3KgHEQRsC6zhqA</t>
  </si>
  <si>
    <t>UCSMj08PhzBpviwzNtmjS0wQ</t>
  </si>
  <si>
    <t>UCNDc56OwFGEtaLrQKqoQakQ</t>
  </si>
  <si>
    <t>UC5pYFvX9zfsdOFDSn6Hy14g</t>
  </si>
  <si>
    <t>UC1wKVHD-tyOyS3GRdQpecSg</t>
  </si>
  <si>
    <t>UCPeYFNsWAt25nCX-o5oa4ug</t>
  </si>
  <si>
    <t>UCtjkxfb20n53ZJ5TfTKNOTA</t>
  </si>
  <si>
    <t>UCFw01XA3rTRopNj5rCizjjg</t>
  </si>
  <si>
    <t>UChdurFkD6WA-JyjDoKBpGyA</t>
  </si>
  <si>
    <t>UCIxxE98oMjwxtRYWqx1h2bg</t>
  </si>
  <si>
    <t>UCg87RA2-t78aRHyGoF9tyyg</t>
  </si>
  <si>
    <t>UCIfWs-Cc-utBTqfOczqD-lg</t>
  </si>
  <si>
    <t>UC19k4LxgCVSjWv7NZOvNeeA</t>
  </si>
  <si>
    <t>UCh3Se-divVdkFpb5PwM5K_A</t>
  </si>
  <si>
    <t>UCstj25ALeqDPigVPCbNunMA</t>
  </si>
  <si>
    <t>UC3eRkwESmEGviuGkhnauICg</t>
  </si>
  <si>
    <t>UCsfNWGwpi43Y2Pkk7OGrQzQ</t>
  </si>
  <si>
    <t>UC6s5Idg_F-TXZEsnG6Clllw</t>
  </si>
  <si>
    <t>UCvuHTnj3TwaPESOVScxBTng</t>
  </si>
  <si>
    <t>UCeL0VP9DdotQN2UeaVU1dYw</t>
  </si>
  <si>
    <t>UCajmjMqlO4PX_1lub9OVlDA</t>
  </si>
  <si>
    <t>UCiPYYzqbaZqkmYZmAxHs3yg</t>
  </si>
  <si>
    <t>UCUvsx-Xqp2WHI5fa6U6DB_A</t>
  </si>
  <si>
    <t>UCjIlhKpZohPeyDaTBs9q_lw</t>
  </si>
  <si>
    <t>UChfVVfDoYmqlgezM1nXe_KA</t>
  </si>
  <si>
    <t>UCekBi9bmu4DHFOvcMbqaw7Q</t>
  </si>
  <si>
    <t>UCG88vWMW0gxWBX6Nsx9lfCA</t>
  </si>
  <si>
    <t>UCz6lZj32USU3kpRSfU3mmNA</t>
  </si>
  <si>
    <t>UCGbp_Q09KrQZ_xw6w_CYTOQ</t>
  </si>
  <si>
    <t>UCQpNWhsySfEu--0d0iiwKRg</t>
  </si>
  <si>
    <t>UCeBIvmS9wNuO_WyPZVKq0oA</t>
  </si>
  <si>
    <t>UCodmlPiSGxi4axCUbFpAIig</t>
  </si>
  <si>
    <t>UC-EUBGkEVHzrESkhR_NpWEQ</t>
  </si>
  <si>
    <t>UC7E3gjLovfA9YqhdhC2HVEw</t>
  </si>
  <si>
    <t>UCzW_fW32ONrKVidGIjVVmng</t>
  </si>
  <si>
    <t>UCjBx3LFsEGpCL5eHG55yTjg</t>
  </si>
  <si>
    <t>UCSq8cxz-cAvMl0L56l6ocig</t>
  </si>
  <si>
    <t>UCdDflivSl5HyNIB0JgvnTvA</t>
  </si>
  <si>
    <t>UCVV444BRcuK7ffYzVmsfHmw</t>
  </si>
  <si>
    <t>UC-oFOuA748PDXw0Mqg2jjew</t>
  </si>
  <si>
    <t>UCJoAyMn5w628ZOLOBFagmjQ</t>
  </si>
  <si>
    <t>UC1U4q9cUYOG_IpMRdLgdNMw</t>
  </si>
  <si>
    <t>UCUunGjDqU4X6FKTIzD_cnYw</t>
  </si>
  <si>
    <t>UC1fCwbug2b7e_bDtcs_ESbA</t>
  </si>
  <si>
    <t>UCki8Y_pL7as_Z-EBieo2kGw</t>
  </si>
  <si>
    <t>UC57FgItCByLILEBHBTIqC2g</t>
  </si>
  <si>
    <t>UCzG1sBr9bsjzGeLLY56Sb6g</t>
  </si>
  <si>
    <t>UCR4nOW155jWnyEuMLrwCbDQ</t>
  </si>
  <si>
    <t>UCaPf_JwHows9ashsYXFissQ</t>
  </si>
  <si>
    <t>UC0FSF_eTGNel6MhJ8KJgy0w</t>
  </si>
  <si>
    <t>UCtDpcD9Jk26fmd1Z4NgJD4Q</t>
  </si>
  <si>
    <t>UCZLu92TSG1K7-7IJXmU6fEA</t>
  </si>
  <si>
    <t>UCFrhm26pLZoaqkSb7QfOweg</t>
  </si>
  <si>
    <t>UCJCAftk_n2vvWeGFyBsfS1g</t>
  </si>
  <si>
    <t>UCoDvNx5toVd-jYsMtURa21A</t>
  </si>
  <si>
    <t>UCsa7ufR_GdbBcL8QVEzIdOQ</t>
  </si>
  <si>
    <t>UC1pAg-4zbxj2X8r_Ar_kv0Q</t>
  </si>
  <si>
    <t>UC9EMSPcvVnMmkXO8j47f8uA</t>
  </si>
  <si>
    <t>UCTt3dKQ0s6UMtLAzp7-DLTA</t>
  </si>
  <si>
    <t>UCnLDyDybtcRySusa6e7mvKg</t>
  </si>
  <si>
    <t>UCqQcN29mLdvlwDd4TFEzsoA</t>
  </si>
  <si>
    <t>UCl9Ia-paiXXFgFNkjkW7vYQ</t>
  </si>
  <si>
    <t>UCCjw2_07e3cNGV2-FZ8PKpw</t>
  </si>
  <si>
    <t>UC1I97o_F81HBd38njELb67g</t>
  </si>
  <si>
    <t>UCcDFMggcyokNZtoUTDu9Hew</t>
  </si>
  <si>
    <t>UCTACKVEdrckH1AUiaexX2tw</t>
  </si>
  <si>
    <t>UC19PQxNYrGzeZ-n4fUBVksw</t>
  </si>
  <si>
    <t>UCt8K11qwJHvOF1stRt9LmnQ</t>
  </si>
  <si>
    <t>UC2wIoJa95vh4xFLdtXiwu2Q</t>
  </si>
  <si>
    <t>UC-GeDtEqCloOTEKa_zWwdVw</t>
  </si>
  <si>
    <t>UCGXzZg1hn6c2PdX_KZ6hOqQ</t>
  </si>
  <si>
    <t>UCRQI3Qn1kt7r0eh6OjmUWfQ</t>
  </si>
  <si>
    <t>UCaDCQcDDEt-ps-zmSAAOLxw</t>
  </si>
  <si>
    <t>UC7Hv3XOnlC6p4y2jJDxPF_w</t>
  </si>
  <si>
    <t>UCjwlv0FFnz318DMA_wr2LWQ</t>
  </si>
  <si>
    <t>UCNyC_QT3YMT5CsEJKjWYKww</t>
  </si>
  <si>
    <t>UCFPKhrduCQk6HoptZ0L-AYg</t>
  </si>
  <si>
    <t>UCCo9fE29CyHVh9HFiT6ddaw</t>
  </si>
  <si>
    <t>UC4F2uxSzYF1LJlNcPvCFU-g</t>
  </si>
  <si>
    <t>UCZ25_b3P3gJcMAVigVqZ_xg</t>
  </si>
  <si>
    <t>UCC3tqYw2EC2sJJB9dstJukQ</t>
  </si>
  <si>
    <t>UCqP6kKRGEsoiRlh__LMUFQQ</t>
  </si>
  <si>
    <t>UCnJjCc9m1GPnareHU6-MXmA</t>
  </si>
  <si>
    <t>UC5zFejAVHMpIF4a4uWuBa-A</t>
  </si>
  <si>
    <t>UCZOk8X-OmWTGX4wM4jfhtZg</t>
  </si>
  <si>
    <t>UCsF-ePuuMJXoM4pbckYct3g</t>
  </si>
  <si>
    <t>UC7vLfMNaK8tQ17PT2QG_VHQ</t>
  </si>
  <si>
    <t>UClbPjfgMQLDGTTazvQRSt1A</t>
  </si>
  <si>
    <t>UCYYBJMELN8ajZoe72bkjYyA</t>
  </si>
  <si>
    <t>UCPB94hDA1pjLEMHmOdG8V0w</t>
  </si>
  <si>
    <t>UCB4TxRglTwXE21ERgJn67aA</t>
  </si>
  <si>
    <t>UC46gdzfsEZbNjMlkYMcaXbQ</t>
  </si>
  <si>
    <t>UC5FI7UKfQnJ9oxtRvUGntZQ</t>
  </si>
  <si>
    <t>UClqdcyZk_8sbRo7-2ahz5eQ</t>
  </si>
  <si>
    <t>UCNqUd8GbIO7BuYFI2-O3auQ</t>
  </si>
  <si>
    <t>UCqBOXFcb9gVlZe3rFD6B6xg</t>
  </si>
  <si>
    <t>UCnzRr8tkZOJ5XKq4eXeLJ2Q</t>
  </si>
  <si>
    <t>UCR6Zdja4QfrSrmQCNPqnGaQ</t>
  </si>
  <si>
    <t>UC5H8IyBGyC1_uqZj0WpUctQ</t>
  </si>
  <si>
    <t>UC17mErxjAd4oawIh0PhYMRw</t>
  </si>
  <si>
    <t>UCVF4fbahqapFHIxtAoW6X7w</t>
  </si>
  <si>
    <t>UCJtquISse_1HFyRfiJ32JqQ</t>
  </si>
  <si>
    <t>UCswxiL8yA-zlE2yQL0NSiGA</t>
  </si>
  <si>
    <t>UCVvHnILmW04dz4BKeztRWjg</t>
  </si>
  <si>
    <t>UCuYAj8_L7-HTsUJ0KXq6VMg</t>
  </si>
  <si>
    <t>UCPHMAzVm59vOlpXsfi406kg</t>
  </si>
  <si>
    <t>UCWoXJ1aX8L444JNZD0xF62w</t>
  </si>
  <si>
    <t>UCTrOox6jyPqqYnZuId2s5CA</t>
  </si>
  <si>
    <t>UCARipcc1VkrLnzLwHT1Cacg</t>
  </si>
  <si>
    <t>UCvu1ORatj4p1bd6DC_9qi6w</t>
  </si>
  <si>
    <t>UCHC7WuQHn1-DAIROJrZaW7g</t>
  </si>
  <si>
    <t>UC9aYO_wkXbHlOi4qbx4vVTg</t>
  </si>
  <si>
    <t>UCBfmomeh4ZXMtw3GsQgaKoA</t>
  </si>
  <si>
    <t>UC5KiZOdnm5Mv2Siq_mFqdWA</t>
  </si>
  <si>
    <t>UCxXGHaNmd9ZZ1kEv2xLpRCQ</t>
  </si>
  <si>
    <t>UCgaF6bm2pAi1j44jwXvrXMQ</t>
  </si>
  <si>
    <t>UC_rXV3aoif5qiDC5VzFjINQ</t>
  </si>
  <si>
    <t>UCe6YYGnAeOL0sII2mcyMy_A</t>
  </si>
  <si>
    <t>UCJsL_3n8QFAkX6y9uu7PN5Q</t>
  </si>
  <si>
    <t>UCYW_oDPEPUXjRuBcVITu0GQ</t>
  </si>
  <si>
    <t>UCRNVgDOhMueAD2i9no4xweA</t>
  </si>
  <si>
    <t>UCa3zsGZ41DR7O7qa_N1jMiA</t>
  </si>
  <si>
    <t>UCCrYiy7pTlMUN97K7vnmz7g</t>
  </si>
  <si>
    <t>UCw-bBmVgiyfdrtvOnpd9sSA</t>
  </si>
  <si>
    <t>UCJPM8A2JFVb0iwwk8BprOdQ</t>
  </si>
  <si>
    <t>UCfUZfNaC5Y1BYkF6HVB9rlA</t>
  </si>
  <si>
    <t>UCGhliFXGBg5n4rUPVDjGgqQ</t>
  </si>
  <si>
    <t>UCu0XvjVuqz0-OuB0xpM9Fkw</t>
  </si>
  <si>
    <t>UCLuYC0iEWAGNAip25koO9iQ</t>
  </si>
  <si>
    <t>UCkMJzuwZYHCa58DH990xjiQ</t>
  </si>
  <si>
    <t>UCOEV0d82acMptsU1quMiJBQ</t>
  </si>
  <si>
    <t>UCD7SkVm2Eh76nSIo4GQz1Fw</t>
  </si>
  <si>
    <t>UCuBo-Yk7EMWQXQUq5LRJo6Q</t>
  </si>
  <si>
    <t>UC1BhnZu1dbQY9m9WPKvzz0g</t>
  </si>
  <si>
    <t>UC9W3KUkMkHjclvRtHKSgTTA</t>
  </si>
  <si>
    <t>UCu8VVTwOjV0biYdp0FY71MA</t>
  </si>
  <si>
    <t>UCJaWMXqDntTUBLiOC-ye7yA</t>
  </si>
  <si>
    <t>UCXHmCBQ6AVaWIXsXw1Om-BA</t>
  </si>
  <si>
    <t>UCIN-0WFv-dQp6i0SMWZmqNQ</t>
  </si>
  <si>
    <t>UCU1slH9iEO_LUlIlqxpvvDQ</t>
  </si>
  <si>
    <t>UCqUQaS4-zPp4rdxPmxZ8Cng</t>
  </si>
  <si>
    <t>UCQsZSxMgz0ZklRXTB4p-n_A</t>
  </si>
  <si>
    <t>UC-rcPVYiLrRYANiKXEzWGBw</t>
  </si>
  <si>
    <t>UCgqJB-dz-lidXyeFOQW3IJg</t>
  </si>
  <si>
    <t>UCuSzEk0bgB3EWoMYMnW1ZNA</t>
  </si>
  <si>
    <t>UCd9JNguApr-6LI7Gqi5wedg</t>
  </si>
  <si>
    <t>UCm1KjKwfYWsxp72BqKiV0cw</t>
  </si>
  <si>
    <t>UCAgfcS5orRt1EH4cF6LN7iA</t>
  </si>
  <si>
    <t>UCtCNgmJwBZ9m6EtQR1CkZJA</t>
  </si>
  <si>
    <t>UCSfSEgfzZPQmeCGwI3tMSqg</t>
  </si>
  <si>
    <t>UCGhPCqsbIY10V576LMxYaww</t>
  </si>
  <si>
    <t>UCHF9prdfEY2TmPZTTdgYbsg</t>
  </si>
  <si>
    <t>UCDZ52wqqTchDtJLDofkcEMA</t>
  </si>
  <si>
    <t>UC5syL2CCKytMHFJw-VY6I4Q</t>
  </si>
  <si>
    <t>UC9XCUftqMgJk69qOtBULM2g</t>
  </si>
  <si>
    <t>UCL9G7J-Xr2X6QMK0YULjCsg</t>
  </si>
  <si>
    <t>UCEuS0hW9NUAFyd56mzqitkQ</t>
  </si>
  <si>
    <t>UCf1Yb5rIcR0fanMNmwH5RtA</t>
  </si>
  <si>
    <t>UCcziyenE-E7YI0Mn6_QSnJw</t>
  </si>
  <si>
    <t>UCOrBUm6zH-0AX1QgC6lwAdg</t>
  </si>
  <si>
    <t>UC_oL0ca7jZDGrFdUbndisyA</t>
  </si>
  <si>
    <t>UCcjOxopu8ykErJYnUrFmjUA</t>
  </si>
  <si>
    <t>UClmdKz5v-aiZ4nqvnJf1V6A</t>
  </si>
  <si>
    <t>UCLUBNN-zJRU52Uec6_hXp-w</t>
  </si>
  <si>
    <t>UCMNRtO8vaoNgqJu6ETMoUrQ</t>
  </si>
  <si>
    <t>UCLqxp6vnqiXFNFEvXFdFGVg</t>
  </si>
  <si>
    <t>UCFe6_9G-HOwKoyHtvrdC4JQ</t>
  </si>
  <si>
    <t>UCu055IQpqIPWAVkzROrgSxQ</t>
  </si>
  <si>
    <t>UCXjCbnz9v9immQ0REbdqMgw</t>
  </si>
  <si>
    <t>UC3rRjSPT2ADF8Bx3SFTUn_g</t>
  </si>
  <si>
    <t>UCrU-NwoCg6tVtSiPy3Gy6qw</t>
  </si>
  <si>
    <t>UCpAT3e9GjLNAhpuuwzkJiFw</t>
  </si>
  <si>
    <t>UCQfZ0OSP-6TpL8HYmRX7tdQ</t>
  </si>
  <si>
    <t>UCL_dbeUghdqme-ayvKz4o1A</t>
  </si>
  <si>
    <t>UC5UwyHs6XNxGyhAJxIoS3sQ</t>
  </si>
  <si>
    <t>UCKBv1p7n0LHOF6OFAKr8ymA</t>
  </si>
  <si>
    <t>UCSq1ql-tqFgD5cP6tA4qbUg</t>
  </si>
  <si>
    <t>UCoYZatV4SXUGQsrmPt8wDUQ</t>
  </si>
  <si>
    <t>UC8IeVJo78c8s_9HxUPZoxxw</t>
  </si>
  <si>
    <t>UCpYQNx09wnzoENmWINuIZaA</t>
  </si>
  <si>
    <t>UC3_a08NPE-NHhmWr8hbZxwg</t>
  </si>
  <si>
    <t>UCGLH2RwIrSUzQrtbO0dDg6g</t>
  </si>
  <si>
    <t>UCmPeOGgQC7v40JsAGwnCKkw</t>
  </si>
  <si>
    <t>UCDRddzLJ31RaeSJXr7wi93A</t>
  </si>
  <si>
    <t>UC2kcz3diFpJ88PfQil2AfBg</t>
  </si>
  <si>
    <t>UCq7wQaZ9_DkRV_qvFmrfPcQ</t>
  </si>
  <si>
    <t>UCWH44Hv1eb3q340UUvwqGXw</t>
  </si>
  <si>
    <t>UCXjKc2VsK3tLsPUBn_TjDvQ</t>
  </si>
  <si>
    <t>UCrX2cOh70pKH72xC97MHfsA</t>
  </si>
  <si>
    <t>UC3Mxp8B5u8aM-lfSaItXJ_A</t>
  </si>
  <si>
    <t>UC5iTVs-0MTyy72Hw6s_TnFw</t>
  </si>
  <si>
    <t>UCWudO00TOqPNkIEEsT95PSw</t>
  </si>
  <si>
    <t>UCSS1ceUwp8E2wu2LVYqrSJg</t>
  </si>
  <si>
    <t>UCF6yTL7Q32JD9XY6t0RPlFQ</t>
  </si>
  <si>
    <t>UCCbmzO8LA8erJ2y5alw2v7w</t>
  </si>
  <si>
    <t>UCloStMCyhM7LPabUMkbFyzg</t>
  </si>
  <si>
    <t>UCIHQQ1mJkGjPNxCzuz_lfaw</t>
  </si>
  <si>
    <t>UCqNxfdWj9vsQdR6jtQAfWxA</t>
  </si>
  <si>
    <t>UC6scaA6PhjYvUhmVfrERSoQ</t>
  </si>
  <si>
    <t>UC-9WhfcUUrndVvCzSDgdU6Q</t>
  </si>
  <si>
    <t>UCW3wZi8CmM3qXkwF8Eqjr3Q</t>
  </si>
  <si>
    <t>UCO_5KC0CFCpCYgBPjDL0-RQ</t>
  </si>
  <si>
    <t>UCp15ovkKNE3SI-u7Bsxd8nw</t>
  </si>
  <si>
    <t>UCbAonIVhWWX7rrV5fFpvabQ</t>
  </si>
  <si>
    <t>UCXor2QHnN7CZe7YFoUIytjQ</t>
  </si>
  <si>
    <t>UCMNn4karKPX5DeBfW1vxcNQ</t>
  </si>
  <si>
    <t>UCjY7W-5Cu6D_XoZzb9kqzag</t>
  </si>
  <si>
    <t>UCsCIR-vVowQXgCCPUsJiIGw</t>
  </si>
  <si>
    <t>UCkWMDdBrOlsPCtAProeCW-g</t>
  </si>
  <si>
    <t>UCBwDhaYnBieUF5CwDbegqlg</t>
  </si>
  <si>
    <t>UCgB7YJiJREv_F6AIpOJj2fA</t>
  </si>
  <si>
    <t>UC0odDQXJ1f6VwclLzki0pbA</t>
  </si>
  <si>
    <t>UCDYIAQcrOstSLjyGnC5sR6w</t>
  </si>
  <si>
    <t>UCUFAejaSPvGBiBbLXW0m5qg</t>
  </si>
  <si>
    <t>UCFhRTpfl_Y43iIYkyNiTzAw</t>
  </si>
  <si>
    <t>UC3ExVgjQaiotHiHLuNVf3EA</t>
  </si>
  <si>
    <t>UCe12zFG2b4YJ9s2932O2w1w</t>
  </si>
  <si>
    <t>UCfQq6U6DRzUR6AXTwiSDsbw</t>
  </si>
  <si>
    <t>UCssGlCd583F9i_ddVDhw1FQ</t>
  </si>
  <si>
    <t>UCQqb0hqrx6k7xN5rP4bLI8Q</t>
  </si>
  <si>
    <t>UC8TKlK89va7w9xibnrYYewQ</t>
  </si>
  <si>
    <t>UCrzwKG4qZDhIGDPN0jO_wzQ</t>
  </si>
  <si>
    <t>UCTXUtV61Kogv2Q6fnM5e3WQ</t>
  </si>
  <si>
    <t>UCVg1HvSPX4I1JmxNNpx9aWg</t>
  </si>
  <si>
    <t>UCoLyqRHViTRR3Kn0WipQzfw</t>
  </si>
  <si>
    <t>UC664SWpcq1W8vkA-rPPTspw</t>
  </si>
  <si>
    <t>UCnATnRl-Aj0_qgm9JxCyLAw</t>
  </si>
  <si>
    <t>UCt6TpF0bu4txm6djvHuFAVg</t>
  </si>
  <si>
    <t>UCm0T3GjXVmReGUjI2jxJCYQ</t>
  </si>
  <si>
    <t>UCAWdbmGR8KlYQ1zezsbyCjA</t>
  </si>
  <si>
    <t>UC7hZa7UORgQvUPtYlCS-bfQ</t>
  </si>
  <si>
    <t>UCpdSu7jt6FyUY-GcZ5_3QFA</t>
  </si>
  <si>
    <t>UCtXe3QlHDi7F-ojBR9BxjQg</t>
  </si>
  <si>
    <t>UCPapQQYB5eJL-CPy7KecNgA</t>
  </si>
  <si>
    <t>UCPPmvror0xzpZkDBymJddlg</t>
  </si>
  <si>
    <t>UCWTBgIN5NsIXRbdIdb7Y9Rg</t>
  </si>
  <si>
    <t>UC4ng0FUz_hDpAHEQuGBw1GQ</t>
  </si>
  <si>
    <t>UClSjxyfSXkP4KFeczZNVJKQ</t>
  </si>
  <si>
    <t>UCKsuYIqhe1B1GYpVrURibXQ</t>
  </si>
  <si>
    <t>UCRVKZwI7-F-r-IJphjY7Udw</t>
  </si>
  <si>
    <t>UCe-x2nSlR_zJD4wa3SnhHVQ</t>
  </si>
  <si>
    <t>UCxZ34QXv1qu0StOapVsVxpA</t>
  </si>
  <si>
    <t>UCInFRWIhmYnyFVuPvhANbtQ</t>
  </si>
  <si>
    <t>UC45V4qR59vMfnq9q3-oyQlg</t>
  </si>
  <si>
    <t>UC9gUoiR-xCO-j_7ibOzb4Kw</t>
  </si>
  <si>
    <t>UCM2asyX07fZpUMDEJTp3h-w</t>
  </si>
  <si>
    <t>UCHTCV90UFDxZ7i0RKRCi3Zw</t>
  </si>
  <si>
    <t>UC5gP-UK-5mQ5SYHsftRMrFg</t>
  </si>
  <si>
    <t>UCh2fWNYGetPHQu4pDzk_OTQ</t>
  </si>
  <si>
    <t>UCxCUd5fdFRrEwVu1zhXko4g</t>
  </si>
  <si>
    <t>UCetkfsaTdd_kc_OIWgZgi-w</t>
  </si>
  <si>
    <t>UCk2ofMoMFyrWG7Ptx0yUwqA</t>
  </si>
  <si>
    <t>UCt70dbIi4pjz4rps4GzhXfw</t>
  </si>
  <si>
    <t>UCDmWmsLkzHNkRyXpF1G_wKg</t>
  </si>
  <si>
    <t>UCMBjST-WDzXZ2nb5rRtbxjw</t>
  </si>
  <si>
    <t>UCEy1eBC1Y-svoyQmPhTFyYg</t>
  </si>
  <si>
    <t>UCE-X03N-Fx5V-CIuJmY_-ig</t>
  </si>
  <si>
    <t>UCb79xVKqalOL8G2gYwACW_Q</t>
  </si>
  <si>
    <t>UCQJuY_i5bXZ-GAVJSmIrTtg</t>
  </si>
  <si>
    <t>UCgWLT6iCpP5KbFP56bz1tnw</t>
  </si>
  <si>
    <t>UCbFpkAf8joKOlEBtk0Es8Cw</t>
  </si>
  <si>
    <t>UC_WCJS2QvK0TKs3xPjLgUzA</t>
  </si>
  <si>
    <t>UCVmBczisbmnAdXymnmffmnQ</t>
  </si>
  <si>
    <t>UCh8B1Ja_QHy_NuSHEwh-_jg</t>
  </si>
  <si>
    <t>UCxe1DIONDme-Ftjz_meLQlg</t>
  </si>
  <si>
    <t>UC49OUIqc1iHsazIwOllyHqA</t>
  </si>
  <si>
    <t>UCR4GxyDBV43ZwpcLgIZm_mQ</t>
  </si>
  <si>
    <t>UC05LCWvw5lPuonrh2TJmE8w</t>
  </si>
  <si>
    <t>UCAlmn1BN7ifoHzUgvU_afmA</t>
  </si>
  <si>
    <t>UCBdOLQYVHPtOcl3q2th7fhA</t>
  </si>
  <si>
    <t>UCQ4_VbvO_pK1jif12MouYDw</t>
  </si>
  <si>
    <t>UC-b1oHeHzzAe3R1_T7MDyHQ</t>
  </si>
  <si>
    <t>UCGfmkO5Dg9VC4asYfPJM4zQ</t>
  </si>
  <si>
    <t>UCHALEe-ya_xIGuUpBWQ_UsQ</t>
  </si>
  <si>
    <t>UCqz6R-AeBNCglAXuco6PQQw</t>
  </si>
  <si>
    <t>UCkHqCBJzKGKmZ9ELeLMw-QA</t>
  </si>
  <si>
    <t>UCvrOP4wl_i4HRpxMXAxcu0Q</t>
  </si>
  <si>
    <t>UCMY3RDHDiSf_7LVAGOYAFyQ</t>
  </si>
  <si>
    <t>UCbBW5z9N9pZC8K_E6b44xgg</t>
  </si>
  <si>
    <t>UCEZ4d9gaq9lswcI9Cg_KDdw</t>
  </si>
  <si>
    <t>UCz-UYU6VdZ8vtY7vMwlREtQ</t>
  </si>
  <si>
    <t>UCj5Dg38klYXD4xTk0KEvSiA</t>
  </si>
  <si>
    <t>UCdBoH5LApfFz2kBrNdquchQ</t>
  </si>
  <si>
    <t>UCjLkBizRPwHhXNKosc22acw</t>
  </si>
  <si>
    <t>UCX9_xs0o8ST9uWgo-bXhM-w</t>
  </si>
  <si>
    <t>UCz_1_52Zn3AUvSInasP_RBw</t>
  </si>
  <si>
    <t>UChE_wus1YKEgXkgCMpN9v9w</t>
  </si>
  <si>
    <t>UC_Bio0vuo7vfI6Alhk1KLWg</t>
  </si>
  <si>
    <t>UC7kxKThp2d5aQCEBp3zCV4w</t>
  </si>
  <si>
    <t>UCs6om7s3fEJ0PlQR4hEacTA</t>
  </si>
  <si>
    <t>UCur3WHP9qwrNuQigbjJSZYA</t>
  </si>
  <si>
    <t>UCv5ZEPEjgqejTgMQhOOv3MQ</t>
  </si>
  <si>
    <t>UCQTLaguKLDCsmewuUDo50Vw</t>
  </si>
  <si>
    <t>UCQn0-i5rI0fG52GV8zjoP7Q</t>
  </si>
  <si>
    <t>UCSTt1V298C0zph61WG9wRgw</t>
  </si>
  <si>
    <t>UCdCPKxljSl4PY2dZzExJG2g</t>
  </si>
  <si>
    <t>UC5o9lvXX-zHILPakDPqQBvQ</t>
  </si>
  <si>
    <t>UCjPcnXVxSkCrvLB7_aPkRJA</t>
  </si>
  <si>
    <t>UCiFRDvbZbPwWQPwirqqDWOg</t>
  </si>
  <si>
    <t>UCHYzDS1qVbUEQEThdXAeitQ</t>
  </si>
  <si>
    <t>UCPKyiavT3ALMFLhph_0KVUA</t>
  </si>
  <si>
    <t>UC3B1hVDU9rwY1X_NPRXPmXA</t>
  </si>
  <si>
    <t>UC2bCxJ_Q3skQqjDUrnTEi3Q</t>
  </si>
  <si>
    <t>UCOeeO42-Y0XU9W7JS73834A</t>
  </si>
  <si>
    <t>UC2yDolvO9RcH4sBwTgYo03Q</t>
  </si>
  <si>
    <t>UC3t0vabNz4_sZaZBtv2lntQ</t>
  </si>
  <si>
    <t>UCTE1IMyCwR3Ne0Y2FsGq_Ng</t>
  </si>
  <si>
    <t>UCdRj1sv7oI9YzZ6MhtXVGmw</t>
  </si>
  <si>
    <t>UCg5slShaD8AOyf3Fjkx4S6g</t>
  </si>
  <si>
    <t>UCnwhK7Pf6xJ635mvBLTYtVA</t>
  </si>
  <si>
    <t>UChn8r4R7IyImVZCM-BB9LjA</t>
  </si>
  <si>
    <t>UCDORNkLZoO8awjyjbHfT6MQ</t>
  </si>
  <si>
    <t>UCvZ1drUcQdt6kg_qXr67pFA</t>
  </si>
  <si>
    <t>UC4FNblxzUufuzu50GCGWv1g</t>
  </si>
  <si>
    <t>UCqYhSzZYvi361NoLFB-E-AQ</t>
  </si>
  <si>
    <t>UCkvGif7f1894bm64XjVHang</t>
  </si>
  <si>
    <t>UCmj-FpayGC6QdSQBtA5Kxiw</t>
  </si>
  <si>
    <t>UC8pzbnzgdk4HN-BQ6PCMGRw</t>
  </si>
  <si>
    <t>UC1a_HNbxubi-dDhkgErqtpA</t>
  </si>
  <si>
    <t>UC4ZbSETqXsmVlESWrCnyLag</t>
  </si>
  <si>
    <t>UC-98kmyOb7Vv4cT76INUHMg</t>
  </si>
  <si>
    <t>UCOkk103ccRsLaOrhUu14JZA</t>
  </si>
  <si>
    <t>UCm2UQKqEmJK5hl-OKH2sm6g</t>
  </si>
  <si>
    <t>UCyUofwPNAPR-gFOkTB2b2tg</t>
  </si>
  <si>
    <t>UCD8Dlf8WwjM2inWlDX-R6TA</t>
  </si>
  <si>
    <t>UCwz300XgVAtkhgeTweaQbkA</t>
  </si>
  <si>
    <t>UC9cqFiYM22JO8FuNn-aBgOQ</t>
  </si>
  <si>
    <t>UCtxs8eSxQlIRD3AGW6_OROw</t>
  </si>
  <si>
    <t>UCpci2sLkL_ruOvMfjkxt23g</t>
  </si>
  <si>
    <t>UCt5h7mSYF__S9Gg2kTtxqqw</t>
  </si>
  <si>
    <t>UCabVEwgOPIRS9PEGfje06ig</t>
  </si>
  <si>
    <t>UC_jrDCc0TN56qJ3qVpA0hxA</t>
  </si>
  <si>
    <t>UC6Iks4Ylg1S-9mFZPI9ra8w</t>
  </si>
  <si>
    <t>UCnpdZOZW815SaU4BKlSwXhQ</t>
  </si>
  <si>
    <t>UCa0r7tFlfbWnvSRd2RiZ6cw</t>
  </si>
  <si>
    <t>UCS0RJzz88eKNLiR6WE21Qvw</t>
  </si>
  <si>
    <t>UCSRhOpdGhuZD14fGj6l-XhQ</t>
  </si>
  <si>
    <t>UC4wZ20awGSRVJZCkQZ9UP3g</t>
  </si>
  <si>
    <t>UCT22z_uh53YLOXKgyLeM8rw</t>
  </si>
  <si>
    <t>UC21EX62-Ofs2gg9aG5v7E7w</t>
  </si>
  <si>
    <t>UCT_iKNxU_yjtVrY1GT8ioWA</t>
  </si>
  <si>
    <t>UC56xesm00-ZR26cn8HZJjjg</t>
  </si>
  <si>
    <t>UC49ES6lI9ZMGHCA-Vvvp2Kw</t>
  </si>
  <si>
    <t>UCQsKR3yFOTdK5IvI4MtLBRA</t>
  </si>
  <si>
    <t>UC5u6LI25HEtIyHkMCvec4ZQ</t>
  </si>
  <si>
    <t>UCK2y5DvD9Te4bY_WVN5TYag</t>
  </si>
  <si>
    <t>UCl0Bb_okx8-AifR3CFSx3Og</t>
  </si>
  <si>
    <t>UC9-zm0EDc4kGxPnktyZOxBw</t>
  </si>
  <si>
    <t>UCn8u405OvtbjeKU0q-HF9Sg</t>
  </si>
  <si>
    <t>UCszmpTvc3wAo4VAHtZwjKLQ</t>
  </si>
  <si>
    <t>UCvCk-LUUcBMF1RstEh5quSQ</t>
  </si>
  <si>
    <t>UC8qZdEv3R_7q3knqIYhOtUQ</t>
  </si>
  <si>
    <t>UCFxlADzMeWHfNT-okhpFi8g</t>
  </si>
  <si>
    <t>UCX4PxI9y174K8kLytkebhzQ</t>
  </si>
  <si>
    <t>UCKjOKIhkYRu2WtTUQ6rXXLw</t>
  </si>
  <si>
    <t>UCJVBtqGARZMuj27oWqHNPPg</t>
  </si>
  <si>
    <t>UCW957N32DXhPvvf2q1DI1Ug</t>
  </si>
  <si>
    <t>UCqJGgTgnNURESZKCydR5oug</t>
  </si>
  <si>
    <t>UCoaoT4HBa-brA_lN59WulXw</t>
  </si>
  <si>
    <t>UCaKeBJQKOYVuJfflEPX66jw</t>
  </si>
  <si>
    <t>UCvsjG3q3XEkUsxgrcjh4gXA</t>
  </si>
  <si>
    <t>UCph6ZiZvmteyK2atIj666Xw</t>
  </si>
  <si>
    <t>UCgYLRYIJb9KnxdayIRaIfmg</t>
  </si>
  <si>
    <t>UCnueLfboUTZDc2lSuMWEdxA</t>
  </si>
  <si>
    <t>UC8mNzLO1avLPfr3sF6wigJg</t>
  </si>
  <si>
    <t>UC4W_dHVgcWqOyJ28_FA2kKw</t>
  </si>
  <si>
    <t>UCGM43GpsGVvwu6JubhbgAmg</t>
  </si>
  <si>
    <t>UC_woIwGBmFRqhM95GpdZEcw</t>
  </si>
  <si>
    <t>UCYZTfrs99_9oEc8FlT7xfgQ</t>
  </si>
  <si>
    <t>UC8Eu4NZFw1_bxYf4ayLLi2g</t>
  </si>
  <si>
    <t>UCVcETuUxx8xl57_Dcmzfczw</t>
  </si>
  <si>
    <t>UCrYsIxhLwq8C7PP2jI7iPew</t>
  </si>
  <si>
    <t>UCR2iUmmCxRX7wKlQTFYH0tw</t>
  </si>
  <si>
    <t>UCuan2-3xzF7HUHM8cHGgp5w</t>
  </si>
  <si>
    <t>UC7fV28N1iBF0AzOCvAPljsA</t>
  </si>
  <si>
    <t>UC6oC5WtM72f9H0P_VCjSZNQ</t>
  </si>
  <si>
    <t>UCnUOERpIiTahkJIERCyCqvw</t>
  </si>
  <si>
    <t>UCibi5J-2WxLl4W7SMt1W9Dg</t>
  </si>
  <si>
    <t>UCDOoyWgBUlOIffMGG6qMf4Q</t>
  </si>
  <si>
    <t>UCgbZpB5Mlkvj1rmzI2yhsTQ</t>
  </si>
  <si>
    <t>UCk3LpgzoOhBd2oEvmbxW4FQ</t>
  </si>
  <si>
    <t>UC3EuEcNNIg0UQSX6Nh0Wh-g</t>
  </si>
  <si>
    <t>UCdgjP0_qabhlzlHQi4F6f3Q</t>
  </si>
  <si>
    <t>UCDQJbkCU-bw60C5jWloiK5w</t>
  </si>
  <si>
    <t>UCffo7y78j8FY7LpvGImlNtw</t>
  </si>
  <si>
    <t>UC9cuLEioDn1As9tqu-8zHzQ</t>
  </si>
  <si>
    <t>UCj-buA1HiXucf5YyMyc-YJQ</t>
  </si>
  <si>
    <t>UCocZWg7OOiR8TEA4Oz_qM5w</t>
  </si>
  <si>
    <t>UCchKeQfGiP0vCh_Z47NnHLg</t>
  </si>
  <si>
    <t>UC1CbSDBl4oSk9IZ9q1lH3gg</t>
  </si>
  <si>
    <t>UCdKu7f4_xvDk76cBywWEYqA</t>
  </si>
  <si>
    <t>UCMCMHhN7IaRxwHrtKmHvReQ</t>
  </si>
  <si>
    <t>UC1qlEOupoRrYWn63A1UB6pA</t>
  </si>
  <si>
    <t>UCSGZgStO6y2d5BSb14cSsYw</t>
  </si>
  <si>
    <t>UCsTCjOvj8dSiNCmuJXRujXQ</t>
  </si>
  <si>
    <t>UC4WDYVahew1v9IqswX8EZyw</t>
  </si>
  <si>
    <t>UCToP4JFX-JgXLm-KocsE2cw</t>
  </si>
  <si>
    <t>UCOwisMMQzJkKYdqBNbRPCfQ</t>
  </si>
  <si>
    <t>UC_fw_5lTNM7HrjboRrJk9EA</t>
  </si>
  <si>
    <t>UCzG6hJNmUwX5zj8iC38UHzA</t>
  </si>
  <si>
    <t>UCPyIRPhqIJ1a8zG6fKBgAKQ</t>
  </si>
  <si>
    <t>UCeDJtAOSzXMofMZ00ju2SMQ</t>
  </si>
  <si>
    <t>UCH9OJiH3gSKH6VOIAzDu6sg</t>
  </si>
  <si>
    <t>UCMbMlzar0cQ7VEb61nDhK9w</t>
  </si>
  <si>
    <t>UCxZhzuDxa3aWgKh76vtJ2kg</t>
  </si>
  <si>
    <t>UCT2p-roxdDS0ov0c-vzYcDg</t>
  </si>
  <si>
    <t>UCS96WOmj3eNUwvYHK5vKcAw</t>
  </si>
  <si>
    <t>UC0vw_u4FhVDz6BVIjp7hL4g</t>
  </si>
  <si>
    <t>UChyOfaIChmJXmh-YNTeNl6w</t>
  </si>
  <si>
    <t>UCYXGrKFyrb2BJ7_mhfw45Gg</t>
  </si>
  <si>
    <t>UCfe83fYh_9hoSzCFkOXB9hg</t>
  </si>
  <si>
    <t>UCYEd7P0_l36H5Fi_6WsUV1w</t>
  </si>
  <si>
    <t>UC-PxJnQ4eNOYzukE0IYC_mg</t>
  </si>
  <si>
    <t>UCTb6R7eVlCVS0dqDNygYu4Q</t>
  </si>
  <si>
    <t>UCdL6lEehDERIAZN4KaLbjVA</t>
  </si>
  <si>
    <t>UCRDaBFMqA5pt1HTQdyNKy_A</t>
  </si>
  <si>
    <t>UCbtWbnuwj8wJGfyVKZFvkQQ</t>
  </si>
  <si>
    <t>UCrGqEZjEqwi3q87eokygrTw</t>
  </si>
  <si>
    <t>UCJLZIBSM0wOz2jdSdUhV31g</t>
  </si>
  <si>
    <t>UC7bKpW_RfRCUpXfLXoP2WSw</t>
  </si>
  <si>
    <t>UCr1Byyao5_vJI9c9nBU6S_w</t>
  </si>
  <si>
    <t>UCRHGZmpFp_KbuIJw4JNaeeQ</t>
  </si>
  <si>
    <t>UCpHYBnuR6gE7Fm7MFb61seA</t>
  </si>
  <si>
    <t>UCgNC8-Mzcm8hmqyXZ6a_yvg</t>
  </si>
  <si>
    <t>UCQ88j29qn61pMcOWG5aAwkQ</t>
  </si>
  <si>
    <t>UCZ5H-Ryudp-1KT5pzzCM0uQ</t>
  </si>
  <si>
    <t>UC3vecQrCXGlbLOmtPBiDp0w</t>
  </si>
  <si>
    <t>UCK67D_PUDf6n6eL_SL-dD7w</t>
  </si>
  <si>
    <t>UCClOVIUJQLaV2eORUThj9Kg</t>
  </si>
  <si>
    <t>UCaQFmitTZ5Pf_S-Oq02pvtg</t>
  </si>
  <si>
    <t>UCB-am98os4D1ZfzsmK0kXCw</t>
  </si>
  <si>
    <t>UCWFhQMHtP9Fg44_YwhySctA</t>
  </si>
  <si>
    <t>UCrUmtb_UJcfBDmd0GeFyPQQ</t>
  </si>
  <si>
    <t>UCk5FUiJD-N1Hyny_iJUPGIQ</t>
  </si>
  <si>
    <t>UCDH7TcPrEmjYK9unjD4QdbA</t>
  </si>
  <si>
    <t>UCBY5WVfKtItFgG2-UWb8Jhg</t>
  </si>
  <si>
    <t>UC9E-uwiaGa3-KsHStYA8Pmw</t>
  </si>
  <si>
    <t>UCAJLpKza1VTPXFaUm-iCpdw</t>
  </si>
  <si>
    <t>UCk9Hj10WYSls4--v3MSDE7A</t>
  </si>
  <si>
    <t>UCt6aOvDjJxVkJF9DFC-HdZQ</t>
  </si>
  <si>
    <t>UCmKMJPCMnwJLiG_Zq8B-yKw</t>
  </si>
  <si>
    <t>UCGzueH5RuohK3Icv_COo7gg</t>
  </si>
  <si>
    <t>UCQf-kWfY0y1mkSC9KPgsrKA</t>
  </si>
  <si>
    <t>UC2_IIQEUsvFej9-jPMqyl1A</t>
  </si>
  <si>
    <t>UCgBIsXAjzj5XYflu9qu9OGg</t>
  </si>
  <si>
    <t>UCFTAJaYrEx-iR8IlKv-vXfA</t>
  </si>
  <si>
    <t>UCgDkdV9-DJ5PBczCow26nCw</t>
  </si>
  <si>
    <t>UC_4Sj3C57bF5Rg74c--fV4Q</t>
  </si>
  <si>
    <t>UCuZIvh2yMLyHB1qYauNoLLw</t>
  </si>
  <si>
    <t>UCdPVRYapsEnNZoj0ZGftzMw</t>
  </si>
  <si>
    <t>UCpFUBwmXD1UjmnPm8KBG-gQ</t>
  </si>
  <si>
    <t>UCtXF6pCd8uSWATsGAzWAMDw</t>
  </si>
  <si>
    <t>UC4ca4MzLajWp2EeXvx8lQwQ</t>
  </si>
  <si>
    <t>UCZyGCssNuaH5dHZtaPncv4g</t>
  </si>
  <si>
    <t>UCK6Zr4YF9bRrG60qD5spc2Q</t>
  </si>
  <si>
    <t>UCk76R1VS-zjDxsg2AorjWTg</t>
  </si>
  <si>
    <t>UCyQcnzgVX6AdyjrsCuM0bag</t>
  </si>
  <si>
    <t>UCYGwpY4IPQAtIuIV6PKnKWw</t>
  </si>
  <si>
    <t>UC_7I24RfRdWcifKv0Dij7SQ</t>
  </si>
  <si>
    <t>UCHLxf9I0oZ8Zpjjb5871BLg</t>
  </si>
  <si>
    <t>UC6u4tPECLB4EawEgtGtg9rA</t>
  </si>
  <si>
    <t>UCntcDrXPC6VM5-wm5EoD3jA</t>
  </si>
  <si>
    <t>UCPCqA8g1xsdob2WCfpvmijQ</t>
  </si>
  <si>
    <t>UCHEh2MnE0-KnGcZUoOKYmzQ</t>
  </si>
  <si>
    <t>UCQgNOlW1vOK55tFnYnXGn7g</t>
  </si>
  <si>
    <t>UCxsM10039D4xZ5Pmfo9M29g</t>
  </si>
  <si>
    <t>UCp6h1jr5GhR3z93KAOkBNUg</t>
  </si>
  <si>
    <t>UC193fs4PiY7pS5gSisIFNcg</t>
  </si>
  <si>
    <t>UC-THlz4P2aQjarTTMS8bWog</t>
  </si>
  <si>
    <t>UCdAVmaBZmEHe-CSOj1yuaIA</t>
  </si>
  <si>
    <t>UC94CJPg1KHK0hPwdp-3ueXw</t>
  </si>
  <si>
    <t>UCLp8UE_LbCwUPPssjzWcszQ</t>
  </si>
  <si>
    <t>UCCqW4ak5MDYgo2fbWS0I2-Q</t>
  </si>
  <si>
    <t>UCmAy3H6p5-l1I4cf6r6c-fw</t>
  </si>
  <si>
    <t>UCkahcs8uASwEcKZ_BUmycXA</t>
  </si>
  <si>
    <t>UC62ynSxFPhzio1GovXEnwNg</t>
  </si>
  <si>
    <t>UCPhDXTMhUwn2WMA5dCa2ohA</t>
  </si>
  <si>
    <t>UCKkJjs7WWG25fYJOse62Fww</t>
  </si>
  <si>
    <t>UCt4EDc5-eCtnbIBf3IvOR2w</t>
  </si>
  <si>
    <t>UCQ-ZrKnCUeBsIizJU84cu5g</t>
  </si>
  <si>
    <t>UCDN8QulDooiWplmXb5DMeuQ</t>
  </si>
  <si>
    <t>UC-ay-w_anmeEXq_OrHw0BwQ</t>
  </si>
  <si>
    <t>UCjyyEyMWbuLEZc9g_G6rEZQ</t>
  </si>
  <si>
    <t>UCxpfch7Fchl-zAMh5rAVM5Q</t>
  </si>
  <si>
    <t>UCetrVcySporiw95-lZcscBw</t>
  </si>
  <si>
    <t>UC0eok-DkRRlQQNdnDkuQPEg</t>
  </si>
  <si>
    <t>UCfnlhyiNcbASko1Oa82CGsg</t>
  </si>
  <si>
    <t>UCK0k5cwsno8L-CdWrYzLGUQ</t>
  </si>
  <si>
    <t>UCV1vB5gxsm_-mVjrk3n8ssg</t>
  </si>
  <si>
    <t>UC2eG-zOL4v3_NYatOVssahA</t>
  </si>
  <si>
    <t>UCENlGrR5L7pVcK3xaRyRTqQ</t>
  </si>
  <si>
    <t>UCBBjTjX-N1GvGz-ms0z6MjQ</t>
  </si>
  <si>
    <t>UClrO_-oVlZqeMkas9rScHKA</t>
  </si>
  <si>
    <t>UC3xKd0SITTGWENyWSgnLjAQ</t>
  </si>
  <si>
    <t>UC7aQKMmxHtFECtz8qAOSW5Q</t>
  </si>
  <si>
    <t>UCDylOm1eqwfMynNpaM0SpPQ</t>
  </si>
  <si>
    <t>UCf-UvR81khdNB-yGnKNwxSQ</t>
  </si>
  <si>
    <t>UC9rP5NH6dEKSDNuxMuZ-QgQ</t>
  </si>
  <si>
    <t>UCnc1riW0kKBbNsGaMk8V-DA</t>
  </si>
  <si>
    <t>UC3iGlcr2nXFqkalqIg-DhNw</t>
  </si>
  <si>
    <t>UCYgk1yZGdAaarTUBVGUrJ_w</t>
  </si>
  <si>
    <t>UC_OIjvDidDQ6VsjZUGBHTJg</t>
  </si>
  <si>
    <t>UCRU8CY6Kv0M_pNzLmmaWHHQ</t>
  </si>
  <si>
    <t>UC1QPaL3PjQsHEMeXU3FiWIw</t>
  </si>
  <si>
    <t>UC6LjgjCbipc7v3lAB_yKQgw</t>
  </si>
  <si>
    <t>UCNg-fnpamIO1dMzpa09iBzA</t>
  </si>
  <si>
    <t>UCcyN1R-WcRVbIGLKMlZCqMA</t>
  </si>
  <si>
    <t>UCUuELk5eDQtc0ehvlDh4COg</t>
  </si>
  <si>
    <t>UCitUtZMg7YkKGbA03X5eZgg</t>
  </si>
  <si>
    <t>UC_mCddWqF_0rbfCpf3-G7MQ</t>
  </si>
  <si>
    <t>UCIDo_eCjT9all0nafyhMOzA</t>
  </si>
  <si>
    <t>UCuHJai7fKxggMc6yiYWcSgg</t>
  </si>
  <si>
    <t>UCxDq5oYgSZ5lYZDIlfxgH7Q</t>
  </si>
  <si>
    <t>UCzCEWI2FWjnjwjTzC7tPjOA</t>
  </si>
  <si>
    <t>UC6QgxSH_fB1NzzCao4-dfvg</t>
  </si>
  <si>
    <t>UCSmwQnw6cuW8Yo8keYBq1OA</t>
  </si>
  <si>
    <t>UCbDONk2KZUWxtm6ufQfJltA</t>
  </si>
  <si>
    <t>UCuuU-qRdyG7Gjw9xk_bhE8A</t>
  </si>
  <si>
    <t>UCjJ8ME_6E1jiK184MBdjXBQ</t>
  </si>
  <si>
    <t>UCgCWX0zfngoPwIYqW9cVJWg</t>
  </si>
  <si>
    <t>UCrkgxJFRkPcQHvAOD6g8nFA</t>
  </si>
  <si>
    <t>UCFwMyEq4xIE3NWGitBgRbew</t>
  </si>
  <si>
    <t>UCqSZUxNt7NbcBq1STKKxL6g</t>
  </si>
  <si>
    <t>UCTXr-K3WYUGHDZCC78s8EmA</t>
  </si>
  <si>
    <t>UCeFU7G4NPnykJY4uI1C9DyA</t>
  </si>
  <si>
    <t>UC4nWY5UZuN78231l5-_KW6g</t>
  </si>
  <si>
    <t>UCTy-JYRRcMnRiqx1_ngPU3Q</t>
  </si>
  <si>
    <t>UCIArBoejFG8orctlw8-SJiQ</t>
  </si>
  <si>
    <t>UCYSZu-_m59Sump2qPo30Utg</t>
  </si>
  <si>
    <t>UCUNZ28Ydsumo0P8FZ9OtquA</t>
  </si>
  <si>
    <t>UCGpTuGCmesmi43FszTV4R_g</t>
  </si>
  <si>
    <t>UC8_MqNMB8IcDBWPxbA-E02g</t>
  </si>
  <si>
    <t>UC-XhcdTroF1MMz2GkGu73Iw</t>
  </si>
  <si>
    <t>UCPEVP-uzmM0V16IqY046Cug</t>
  </si>
  <si>
    <t>UCKnmXo8y0tUjLf-X6ye3spQ</t>
  </si>
  <si>
    <t>UCDbHJrZtsHVXVR_84nRe9Pw</t>
  </si>
  <si>
    <t>UC_JQ298-Y2xunW2cRmABNfQ</t>
  </si>
  <si>
    <t>UC8AfGlF22Ph5u7R6Q17L7Yg</t>
  </si>
  <si>
    <t>UCxaLTsG-SgW5PIr35qfimzw</t>
  </si>
  <si>
    <t>UCydtmTmj5L7ITeG5PPaid3g</t>
  </si>
  <si>
    <t>UC2dB5XbOTNjjDBG9Ei4clPQ</t>
  </si>
  <si>
    <t>UChC5YX4GzOVNXTb0FdN4yDg</t>
  </si>
  <si>
    <t>UCKuALA3rXsyIAFyKZp7L_ew</t>
  </si>
  <si>
    <t>UCrpXDjwmMWvV61EVxbdCwXQ</t>
  </si>
  <si>
    <t>UCx0EejgZKNO6QbXHaZ8h0Dg</t>
  </si>
  <si>
    <t>UCRdRqoh6R4sfS3KoHypCYCA</t>
  </si>
  <si>
    <t>UCnFTAS-VWbm7meRN3thQyRg</t>
  </si>
  <si>
    <t>UCrHh9KkBT_15E02JEsEqM0Q</t>
  </si>
  <si>
    <t>UCNqJg82UUprbX2BnKMJLXZQ</t>
  </si>
  <si>
    <t>UCNRxYxiJ71QzpM9leZifi4A</t>
  </si>
  <si>
    <t>UC8r8-cyCSolioAwTpRF9k-A</t>
  </si>
  <si>
    <t>UCe8yxzbkCon8fNaEY-NL7sA</t>
  </si>
  <si>
    <t>UC6xfMGAIvvaMwAndwU1cqOQ</t>
  </si>
  <si>
    <t>UC5T1nPUb_KBoKUZX3X8-5ig</t>
  </si>
  <si>
    <t>UC30YM03IuFEigyE8mgFc22Q</t>
  </si>
  <si>
    <t>UCd6WW4sH6Wenv5hPVuyqhFw</t>
  </si>
  <si>
    <t>UCopBTPY_jAKTFeU2TqivmOA</t>
  </si>
  <si>
    <t>UCT-vOc-zLHKm2jh5gk2jTlw</t>
  </si>
  <si>
    <t>UCHYUAB_n-oCEI8tG4vxn84g</t>
  </si>
  <si>
    <t>UCyK5Td9FaaPk2GRMozJRzZw</t>
  </si>
  <si>
    <t>UCV_03ocMayTM7MOw7O2JeNQ</t>
  </si>
  <si>
    <t>UCK12UCIBiDYD4C548ZkO4kA</t>
  </si>
  <si>
    <t>UCewG0U9fH3RYp8wbfB-1RQw</t>
  </si>
  <si>
    <t>UCV3fQadoPtfE3MXOWx-PtMw</t>
  </si>
  <si>
    <t>UCfxxy62vAkQ4c4K3v8iI19g</t>
  </si>
  <si>
    <t>UCPuvs9NGDH-1DVUa9KR2jUA</t>
  </si>
  <si>
    <t>UCDc09WaTE_hYAl69yyc1NUQ</t>
  </si>
  <si>
    <t>UCfo4TCSwn-FkwT8lKsFRRDw</t>
  </si>
  <si>
    <t>UCSCluX-J1OJ5pfDuFj2dbCQ</t>
  </si>
  <si>
    <t>UCiO6J252zil7xn5pQvZtR6Q</t>
  </si>
  <si>
    <t>UCydZ_vheV40jNQvCO5bninQ</t>
  </si>
  <si>
    <t>UCt8YLD-H1HnHt7XV4KSFTTg</t>
  </si>
  <si>
    <t>UCT6zkhfmyMOyPyKmEaul9CQ</t>
  </si>
  <si>
    <t>UCGZqx4Afuf5c5MocCJ_QSsQ</t>
  </si>
  <si>
    <t>UCD7eQf0ZWr0mfvtV0jU3dbw</t>
  </si>
  <si>
    <t>UC6_v2lL0QHSxS3xzV0wNFpw</t>
  </si>
  <si>
    <t>UCGSIjnJraNXN6esEIMFzohw</t>
  </si>
  <si>
    <t>UC8ZV9ZPtlFUkrMPlKrXDKMQ</t>
  </si>
  <si>
    <t>UCLEc91XqgQBkaF0zlOeftWw</t>
  </si>
  <si>
    <t>UC_EJrSubx5M0_ZFIZSEkIyA</t>
  </si>
  <si>
    <t>UCOt-kSsTsVCg6SosMqHBZCg</t>
  </si>
  <si>
    <t>UCUIxv52akISxK96nU5IWBjw</t>
  </si>
  <si>
    <t>UCzGNxXociT3FsvFnxjfyWWw</t>
  </si>
  <si>
    <t>UCFYHmDuwAH3A4J5_tM0D1Yg</t>
  </si>
  <si>
    <t>UCubZsXkLZjSIdJSixQaKUsQ</t>
  </si>
  <si>
    <t>UC-vzCz2yQshWqTTbGZI-fbQ</t>
  </si>
  <si>
    <t>UCu6XMECoPUr8cEZl8rGTUDA</t>
  </si>
  <si>
    <t>UC11WTN4ni6oUYs9knG4IqKg</t>
  </si>
  <si>
    <t>UCq2p2_pIUPNIaD_cR_ct2vw</t>
  </si>
  <si>
    <t>UCZ3CTz-xiePrSuhw78kzkhg</t>
  </si>
  <si>
    <t>UChxaMZoD1pvKNbr5nvBcg0Q</t>
  </si>
  <si>
    <t>UCLtVjbKCEUXG6iYlLNtzW8g</t>
  </si>
  <si>
    <t>UCq4IgxLNnJQm2_144ae2bzw</t>
  </si>
  <si>
    <t>UCq_jWnjVYU23_Ygnbr2oNkQ</t>
  </si>
  <si>
    <t>UCjLcr3A_CtYzH9rzOr-YtgA</t>
  </si>
  <si>
    <t>UCMChMHYrzEqbfqoSDECldlA</t>
  </si>
  <si>
    <t>UCNbW80cX_mYoE1XaBAlVaTg</t>
  </si>
  <si>
    <t>UCQaCBwgxWpWVvIfTuGkbzqw</t>
  </si>
  <si>
    <t>UCkqlHZqGFGej9GHiUKLLhXw</t>
  </si>
  <si>
    <t>UCbNWVsmivqNlYDfX-ETlNPw</t>
  </si>
  <si>
    <t>UCKTdTw7SXOQBXOx5jI614dQ</t>
  </si>
  <si>
    <t>UCME6PGnwyMRmV8iS_e1M2xA</t>
  </si>
  <si>
    <t>UCCpCCi9vvNf1qBtHqoJs0vQ</t>
  </si>
  <si>
    <t>UCXagPx6_DhXPr88XQ7s0HCg</t>
  </si>
  <si>
    <t>UC6fNBA3mQFpqSFzPUkIfLXQ</t>
  </si>
  <si>
    <t>UCU6PjgmvCNewxOvr7p7MsVQ</t>
  </si>
  <si>
    <t>UCFIx14H8o7q9GrHMrNNLFhg</t>
  </si>
  <si>
    <t>UCBP3JmPkgV1yAQFT6au4u3A</t>
  </si>
  <si>
    <t>UCs2q54e3wazWqkkL2-jhaAw</t>
  </si>
  <si>
    <t>UCYUDN01unUhjKXOYTzxOWCA</t>
  </si>
  <si>
    <t>UCMliswJ7oukCeW35GSayhRA</t>
  </si>
  <si>
    <t>UC16niRr50-MSBwiO3YDb3RA</t>
  </si>
  <si>
    <t>UC0p5jTq6Xx_DosDFxVXnWaQ</t>
  </si>
  <si>
    <t>UCRBwLPbXGsI2cJe9W1zfSjQ</t>
  </si>
  <si>
    <t>UCz4LQH4521QcE2pu6ClWvXw</t>
  </si>
  <si>
    <t>UCAuUUnT6oDeKwE6v1NGQxug</t>
  </si>
  <si>
    <t>UCW39zufHfsuGgpLviKh297Q</t>
  </si>
  <si>
    <t>UC613iBZ6bzD5T58pWzurQ3g</t>
  </si>
  <si>
    <t>UCu6kMy8mE6LAYTg1GQ0rxDA</t>
  </si>
  <si>
    <t>Commented Video</t>
  </si>
  <si>
    <t>Posted Video</t>
  </si>
  <si>
    <t>Old man, step aside and watch young people change the world, you can write a book after. And China will pass us all while you scare politicians with your gloom and doom.</t>
  </si>
  <si>
    <t>The sodium battery makes this analysis aged. It’s easily mined. Easily recycled.&lt;br&gt;Lithium Iron Phosphate batteries last a lot longer than the earlier Lithium batteries.&lt;br&gt;Iron Air batteries for grids are less than 10% of fossil fuels.&lt;br&gt;10kW of solar provide many times the energy needed for an EV, is low cost and installed in a day. Lasts for decades.</t>
  </si>
  <si>
    <t>The other issue is that the US has been producing less CO2 every year since 2000 and it’s accelerating. We now only produce 13% of CO2 emitted each year. Does it it really make sense to destroy our economy for a little faster acceleration whenChina and India are going asymptotic .</t>
  </si>
  <si>
    <t>My new favorite quote is &amp;quot;Crude oil is steak wrapped in bacon and renewable energy is lettuce!&amp;quot;_xD83D__xDE0A_</t>
  </si>
  <si>
    <t>So, what if CO2 isn&amp;#39;t really the problem? I don&amp;#39;t believe in the Climate/ CO2 Hustle and there is plenty of science to back that up. More leaking around the censorship seals everyday.</t>
  </si>
  <si>
    <t>&amp;quot;Muscle, the second oldest engery form&amp;quot;, never thought of this but so right.   Everyone wants to use toxic chemicals and harsh mechanically produced abrasives to clean;  NOBODY uses or has even HEARD of &amp;quot;Elbow Grease&amp;quot; anymore.  Throwing more man made stuff at a man made problem never helps.</t>
  </si>
  <si>
    <t>We can transition away from fossil fuel, but NOT the way we trying to do it now... not even close. The solution is simple, but every time I propose it I get this &amp;quot;blank stare&amp;quot;, even so I am serious.&lt;br&gt;here it is...&lt;br&gt;Nuclear power everywhere and fast... alternatively we could learn how to be happy with less... like the Amish.&lt;br&gt;As of today, on average, humanity has not made a serious effort to conserve energy, because we can do this NOW, while nuclear will take decades.</t>
  </si>
  <si>
    <t>in conclusion, we are xucked even if we made an effort</t>
  </si>
  <si>
    <t>The Manhattan Institute is funded largely by major corporations and conservative foundations. According to the group&amp;#39;s 10-year review, published in 1990, &amp;quot;by 1989, total contributions had grown to $2,113,000, 41 percent of which came from conservative and/or corporate foundations. Thirty-three percent came from Fortune 500 corporations, chiefly insurance companies and pharmaceutical and chemical manufacturers including $50,000-plus each from Aetna and State From Insurance and $15,000-plus each from Prudential, Exxon, RJR Nabisco, Philip Morris, Bristol-Myers and Pfizer. Total revenue has grown to about $6 million, according to the 1997 edition of The Right Guide. See, Chesebro, &amp;quot;Galileo&amp;#39;s Retort: Peter Huber&amp;#39;s Junk Scholarship,&amp;quot; 42 Am. U.L.Rev. 1637 (1993).</t>
  </si>
  <si>
    <t>After reading some of the comments on this I realized that a lot of people are delusional about the reality of what he really trying to say is that if over we cannot do what needs to be done because of a time constraint and global warming will take it irreparable effect by that time. Speaking strictly from a strategic point of view, the world&amp;#39;s population needs to be reduced by 7 billion that is if humanity expect to survive</t>
  </si>
  <si>
    <t>Don’t listen to the fake news. Oil is a renewable source. We will never ever run out of oil</t>
  </si>
  <si>
    <t>develop substantive choice republic</t>
  </si>
  <si>
    <t>This is my first exposure to Mark Mills.  My first impression after viewing this video is that he’s thoroughly invested in and bought and paid for by the fossil fuel and big mining corporations.  At about 7 minutes in Mark Mills emphatically claims that “there’s no shortage of spending” [on renewable energy], and attempts to defend that by showing how much the spending has increased recently and giving an aside on how much extra expense mandates cost.  He fails to show how much has been spent on oil/gas/coal production over the same time period.  Obviously, that cost remains HUGE, so his argument that “enough” is being invested in renewables is simply absurd and utterly unjustified by his presentation.  His point might more correctly be that more investment funds are available than corporations are presently willing to use, which of course ignores the fact (and their rationale) that doing so would hasten the transition of their (mostly obsolete) power to other more agile corporations employing modern technology.&lt;br&gt;&lt;br&gt;Thus far he has based all his forecasts of the (to him seemingly impossible) increase in supply (e.g. of metals) required for any significant transition to renewable energy on the technologies presently being employed throughout all the industries.  What’s clear to me is that anyone who does not understand that every process from mining through mass production MUST be re-evaluated and optimized to maximize productive value while minimizing actual life-cycle costs, as specifically opposed to private (capital owner’s) profit and power…is pitifully stupid (as unfortunately are we all) and wrong.  If you don’t understand and accept that fundamentals of human property, power, and economics MUST be changed as quickly as possible, then you remain an (unwitting) enemy of life on Earth (as many/most humans have always been).  Until we mature past being toddlers we’ll remain on our [Self] destructive spiral.&lt;br&gt;&lt;br&gt;By 14 minutes in I’m wondering just how out of touch this guy is with the present rate of technological change.  His primary assumption seems to be that real productivity will continue to be managed the same way in pretty much the current business/financial environment/systems for the next few decades at least.  If he’s correct, I pity the next many generations in their desperate struggles to save life on Earth.  If he fails to even mention how completely upended all his data would be if EVEN ONE metallic asteroid was mined, then he will have conclusively proven at least some of his inherent(ly purchased) biases.  It’s even more proof than his complete failure to admit that fossil fuels are an inherently limited resource, making an eventual nearly complete transition ABSOLUTELY INEVITABLE and, given climate change, many benefits of its acceleration seem pretty obvious.&lt;br&gt;&lt;br&gt;So he emphatically states that the transition “is not going to happen” primarily because it would (according to him with his absurdly oversimplified assumptions) require human industries to use at least ten times more mass (mostly metals) than we’re using now.  As per the arrogance of his ilk, he simply states his opinion as unquestionable fact.  That’s a tactic I didn’t appreciate the value and rationality of until far too late in my life.  [It’s always up to the listener/consumer to pick apart arguments (which is one reason corporations withhold information).]  After the negative insistence, he does more quietly throw in that: “The world’s not capable of doing that with the technologies that exist today.”  Well DUH.  That’s one of the most obvious reasons corporate investments must change to be focused on developing and optimizing everything necessary FOR the transition, NOT to perpetuate the abuse of carbon!&lt;br&gt;&lt;br&gt;After casually explaining his early background in mining and how much he likes mines, mining, and miners he emphasizes that presently the time lag between deciding to and actually opening a new mine averages about sixteen years.  I do wonder how he expects the capabilities of SpaceX’s Starship and companies (honestly) looking to solve Earth’s resource dilemmas while getting ultra-rich from mining in space will change over that same time.  He goes on to describe how astounding and widespread the increased demand for metals will be and how significant that will be to the economy (e.g. through inflation).  He doesn’t see any reason why metal prices will go down in the foreseeable future.  So he’s ignoring the impacts of all this demand and economic pressure will have on space mining development.  Even in the face of SpaceX’s progress over the last decade.  So much for actually or honestly believing in capitalist markets;)&lt;br&gt;&lt;br&gt;After carefully ridiculing any comparison of Moore’s law to industrial change as comical, he (in his self-promoting greed) authoritatively assures us: “In the real world the velocity of change in the energy industrial systems takes decades not years.”  Later he says the same of mining.  It’s the classic old white man’s certainty based upon lifelong false assumptions reinforced through cognitive bias and social and economic rewards for successfully playing the economic game as enshrined in (now thoroughly corrupted) western law.  All he appears to be capable of (correctly) suggesting is that if we continue doing business as usual, the transition away from burning carbon to renewable energy is impossible.  But rather than admit that that outcome is potentially all too probably fatal for billions of humans, let alone thousands of entire species of life, and is therefore UNACCEPTABLE necessitating real and all too rapid radical change, he lies (if mostly by misdirection and omission) and defends the continued (private profiteering) abuse of carbon for fuel pretending that’s OK by promoting his delusion that it’s inevitable.</t>
  </si>
  <si>
    <t>What I draw from this is personally how much of my own time and financial resources am I prepared to spend to make the tiniest sliver of the marginal difference of emissions that I am responsible for? Answer, I’m not wasting time and money on the green ideology. Period. That’s why we have authoritarian governments to impose ideological delusions.</t>
  </si>
  <si>
    <t>## TIME HAS RUN OUT !! John 3:16 For God so loved the world, that he gave his only begotten Son, that whosoever believeth in him should not perish, but have everlasting life. Don&amp;#39;t ignore this message !! REPENT NOW !! God the Son - JESUS came in the flesh to die for sinners. TRUST that God raised JESUS from the dead !! By FAITH accept JESUS&amp;#39;s blood alone as payment for your sins unto Salvation, to escape what&amp;#39;s about to happen !! Don&amp;#39;t say you were not warned !! ONLY true believers in JESUS will be suddenly taken. THEN comes 7 horrific years of God&amp;#39;s JUDGEMENT, poured out on the world. I pray that the LORD will open your eyes and heart to the GOSPEL.</t>
  </si>
  <si>
    <t>Robots eat too. When the cost of their food is measured against the cost of a human worker (or unemployed person) capitalist methodology dictates that their survival needs outweigh the needs of the humans in the eyes of shareholders. This is doubly true for the unemployed. This is the future he&amp;#39;s so excited about.</t>
  </si>
  <si>
    <t>If you’re comparing the production of both cars the  same from scratch would be much different. &lt;br&gt;U assume the future generations will think the same way your generation thinks and behaves can not be calculated!!</t>
  </si>
  <si>
    <t>This gentleman&amp;#39;s work needs to be in schools. Then we can all have sober discussions about fossil fuels and renewable energy. I have to wonder about the competence and knowledge levels of policy makers, activists and lobby groups around the world given that much of his materials are already out there.</t>
  </si>
  <si>
    <t>Absolutely extraordinary eye-opening presentation by a top-level expert in his field.</t>
  </si>
  <si>
    <t>So many comments agree that the  energy transition can’t happen, but none seem to be offering a solution to climate change.  What about the costs of catastrophic flooding, droughts and wild fires?</t>
  </si>
  <si>
    <t>HERE IS WHAT THE WHOLE WORLD DOESN&amp;#39;T KNOW: The absolute solution that beats everything you know or have heard out there and it was the invention of a 14 scientist named Taylor Wilson.&lt;br&gt;&lt;a href="https://www.youtube.com/watch?v=5HL1BEC024g"&gt;https://www.youtube.com/watch?v=5HL1BEC024g&lt;/a&gt;</t>
  </si>
  <si>
    <t>Contrarian that I am, I do not agree with anyone.  I see the problem as complete domination of the agenda by media, government and academia by global newspeak.  We are surrounded by a one-sided narrative.  Truth went down the memory hole.  Years ago, there was debate.  I debated at McMaster University.  Others more worthy were permitted to debate on PBS, TVO and public fora.  They usually won those debates by measurement of audience opinion before and after.  Sadly, the narrative of the cautionary principle over arched our liberal arts educated society.  Advertisers ruled, academic systems ruled, professors could not attract graduate students, universities tapped into research grants to pay administrators salaries, many were dismissed globally for not following the agenda of the IPCC.  Many like me have grown too old to be respected.  Ask my kids.&lt;br&gt;Follow the money in inefficient ethanol in our gasoline.  Follow the money lost in lithium exploration and inefficient batteries, and the plethora of un-recyclable broken turbine blades.  Follow the red tape and cost in permitting new nuclear plants.  &lt;br&gt;What happened?  A dozen huge globally cooling volcanic eruptions from Krakatoa to Cerro Azul (1883 to 1932) were baked into the IPCC models and ignored.  All dwarfed Mt St Helens and Pinatubo.  There was a major eruption somewhere in the world every 4.8 +/- 4.3 years.  The dust and sulfur were baked into the data - It was a cool start in 1875 to the UN story that they cannot change without losing face. &lt;br&gt;Two kinds of truth exist - objective observed data and political messaging.  Canada has fallen for the messaging.  As the society ages, those of us who did the work are dropping out and those who know the objective facts are leaving the arena.</t>
  </si>
  <si>
    <t>&amp;quot;The Manhattan Institute for Policy Research is an extremely conservative, corporate-funded, New York-based policy group.&amp;quot; just the people I am weary to listen to. The kind of people who said smoking is healthy and CO2 is good for plants so don&amp;#39;t worry about Climate Change.</t>
  </si>
  <si>
    <t>Only 2 options I see for the future- existing nuclear tech bridging the transition to fusion R&amp;amp;D and eventual scaling. &lt;br&gt;&lt;br&gt;And then tiny towns, bicycles and electric mass transport for people/ materials</t>
  </si>
  <si>
    <t>Any consideration given to what this gentleman has to say has to be given with the understanding that the Manhattan Institute has cozy relationship with corporations. “Financing the Manhattan Institute&amp;#39;s specious case against renewables. The Manhattan Institute, a New York City-based think tank, received $75,000 from ExxonMobil last year for its Center for Energy Policy. Since 1998, the company has given the libertarian policy shop more than $1.3 million.” Is he compromised? You be the decider.</t>
  </si>
  <si>
    <t>Why does his &amp;quot;State of the World&amp;quot; chart indicate only 4% for US wind and solar when it&amp;#39;s  reported as 12% by US-EIA?</t>
  </si>
  <si>
    <t>This is how energy transition is going so far:&lt;br&gt;&lt;br&gt;Mark Mills: &amp;quot;As humankind, we should be wise&amp;quot;.&lt;br&gt;Humankind: &amp;quot;Hell no!&amp;quot;</t>
  </si>
  <si>
    <t>Where is his funding coming from...?</t>
  </si>
  <si>
    <t>&lt;a href="https://www.youtube.com/watch?v=sgOEGKDVvsg&amp;amp;t=26m30s"&gt;26:30&lt;/a&gt; &lt;a href="https://www.youtube.com/watch?v=sgOEGKDVvsg&amp;amp;t=26m38s"&gt;26:38&lt;/a&gt;</t>
  </si>
  <si>
    <t>Very nice talk. Does most of the argument depend on all new metal coming from a mine? What do we think can happen with recycling?</t>
  </si>
  <si>
    <t>There are compelling videos if you go looking that are calling climate change and global warming a gigantic hoax. &lt;br&gt;One of the co-founders of Green Peace Dr Patrick Moore has just released a new one. &lt;br&gt;Well worth watching and then you can decide for yourself instead of being one of the sheep following the leader.</t>
  </si>
  <si>
    <t>&lt;a href="https://www.youtube.com/watch?v=sgOEGKDVvsg&amp;amp;t=19m52s"&gt;19:52&lt;/a&gt; Mining CapEx: actual vs. needed</t>
  </si>
  <si>
    <t>We&amp;#39;re going to transition from efficient, reliable energy to inefficient, unreliable energy.</t>
  </si>
  <si>
    <t>Why does the UN have an absurd definition of climate change attached to all the links about climate change on u tube?</t>
  </si>
  <si>
    <t>EVS run on the grid which is coal and fossil fuels plus the toxic metals mined by slaves in the Congo. EVS make no sense.</t>
  </si>
  <si>
    <t>This guy hasn&amp;#39;t got a clue what he&amp;#39;s talking about.. Its fake information.. Got to 11.50 and just had to switch off.. Sorry for any one who believe this load of tosh.&lt;br&gt;Just look on how much metal and mineral in an ICE vehicle.. The truth is actually the complete opposite. Go and look at Na-Ion energy cells.. Then you&amp;#39;ll understand.. ..</t>
  </si>
  <si>
    <t>This is a very intelligent person trying to predict the future using only what is known for sure right now.  What if battery chemistries change?  He&amp;#39;s not factoring in any technological advances... isn&amp;#39;t this rather short-sighted?  Where&amp;#39;s the vision?</t>
  </si>
  <si>
    <t>Complete BS...</t>
  </si>
  <si>
    <t>Complete dangerous BS...</t>
  </si>
  <si>
    <t>Complete mallarky...wind and solar last 30-40 years.  Maxeon panels come with 40 year warranties.  New LFP batteries from Tesla and CATL come with 20 year warranties, 8000 cycles. If used in a car would be 2.4 million miles.  400miles per charge x 8000 cycles = 2.4 million miles.</t>
  </si>
  <si>
    <t>Last year wind and solar hit 12%.  This year expected to hit 20%. Not much of an energy  expert.</t>
  </si>
  <si>
    <t>Good job fighting cheaper electricity....keep up the good work Mr. Energy Expert.  Wind and solar keep demand for Nat Gas down.  Which keeps the price of Nat Gas down.  Hence the name Inflation Reduction Act.  Nat Gas jumper 300% last year.  Caused 90% of inflation.</t>
  </si>
  <si>
    <t>Economic efficiency seems oppositional to what efficiency means in physics terms... Humans consume far more energy than they did in the past. Hmmm.... I sense axproblem.</t>
  </si>
  <si>
    <t>&lt;a href="https://www.youtube.com/watch?v=v2nhssPW77I&amp;amp;t=1s"&gt;https://www.youtube.com/watch?v=v2nhssPW77I&amp;amp;t=1s&lt;/a&gt;</t>
  </si>
  <si>
    <t>Well said. However, what is the cost of continuing with our current fossil fueled economies…hurricanes, drought, floods and wildfires, once fertile food producing land blowing in the increasing wind. I’m interested in hearing about new thinking and new solutions to our ticking time bomb.</t>
  </si>
  <si>
    <t>Battery raw material prices are falling ‘drastically,’ CRU says - &lt;br&gt;Martin Jackson, head of battery raw materials at CRU, says the lithium, cobalt and nickel markets are generally oversupplied and “it will continue to be like that for several years.”&lt;br&gt;Meanwhile, copper prices fell over 2023, outlook is for oversupply and price fall thru 2024.</t>
  </si>
  <si>
    <t>Anyone thinking the transition isn&amp;#39;t going to happen are just uniformed.  Check companies like GMG GRAPHENE.  Making a battery that is made from aluminum and GRAPHENE, has 59% increases in energy density and and longevity.  While only using natural gas and aluminum to make.</t>
  </si>
  <si>
    <t>EV&amp;#39;s are replacing ICE so you should be subtracting what ICE uses in materials as they are replaced. That means the total material amounts and costs are not that bad.</t>
  </si>
  <si>
    <t>Given how carbon intensive mining is, I call on all “Green” thinking humans to put a stop to all this mining!_xD83E__xDD14_</t>
  </si>
  <si>
    <t>Inconvenient truths</t>
  </si>
  <si>
    <t>The new tech billionaires want to be the next energy magnates and displace the old petroleum magnates.  The international capital investment in renewables has surged in the last two years - in order to capture the market.  Of course, they are &amp;quot;spitballing&amp;quot; and it will be messy - and they plan to solve (or not solve) the problems as they go.  The enticement to take market share from petroleum is just too great.  This is one of the &amp;quot;prevailing winds&amp;quot; of capital movement and has growing widespread public acceptance - especially as the awareness that pollution from petroleum is responsible for 6 million annual premature deaths globally. (much worse than climate change).&lt;br&gt;&lt;br&gt;These coming decades are an existential crisis for petroleum.  Several years ago, a Saudi oil minister said that they want to extract all their reserves by 2050 - to avoid having any &amp;quot;stranded&amp;quot; assets, and become a solar exporter.  Look it up.  Of course, the petroleum industry will continue to act like a caged animal - becoming dirtier and meaner - rather than using their assets to transition.  (Think the failure of Kodak.)  Short term profits are still available for petroleum, but future investors beware.</t>
  </si>
  <si>
    <t>Essentially, he is right but his verbosity and self-promoting digressions are just unbearable.</t>
  </si>
  <si>
    <t>More denial.</t>
  </si>
  <si>
    <t>I heard they found HUGE stores of Lithium in Africa - forgotten which country....</t>
  </si>
  <si>
    <t>Curious that he makes no mention of the massive subsidies on fossil fuel production… this is by no means a balanced presentation.</t>
  </si>
  <si>
    <t>Thanks for the great work you do.</t>
  </si>
  <si>
    <t>Thanks. I wonder if TBMs could speed up mine development?</t>
  </si>
  <si>
    <t>And it&amp;#39;s all academic since &amp;quot;climate crisis&amp;quot; is utter nonsense and total fraud..  Liars and fools want the world covered with windmills, solar panels, and EVs, all the product of a massive network of fascist partnerships of government and cronies.  Responsible people want the natural steady evolution from carbon to hydrogen to continue, totally driven by market forces.</t>
  </si>
  <si>
    <t>Global population will peak by 2100. Rapid population decline will hit during 2100 - 2200. Global population will be around 1.5B by 2200. And it can easily be powered by renewables. Longer term, the energy issue will solve itself. Unfortunately, Miami / South Florida / Bangladesh / and many other areas of the world will be under water. But hey. You got to burn alot of hydrocarbons now right? Party on Wayne!!!</t>
  </si>
  <si>
    <t>Look people I found an issue in the world, puppy&amp;#39;s sadness. There are sad puppies around the world and I decided to solve it by making you all do my bidding. We must concentrate the power in me and my friends... so give me power and obey me!</t>
  </si>
  <si>
    <t>kind of ironic that apple replaced him with someone on the board of chevron</t>
  </si>
  <si>
    <t>Stopped watching when he said &amp;quot;Game Changer&amp;quot;. Sigh...</t>
  </si>
  <si>
    <t>No. &lt;br&gt;And anybody that tells you otherwise is lying or stupid, the BBC are probably both.</t>
  </si>
  <si>
    <t>Don&amp;#39;t be stupid! Nearly half the world uses bottled propane gas for cooking and a lot for heating. No gas = billions starve, freeze to death. If you are really worried about CO2, fill your garden and all available green spaces with trees. Reforestation is the answer, the ONLY answer!</t>
  </si>
  <si>
    <t>_xD83D__xDE0A_ anyone that thinks we can reduce polution to anywhere approaching net zero without the cooperation of either China or India is frankly deluded.</t>
  </si>
  <si>
    <t>Yes. But that means less profits and control the for the mega-rich.&lt;br&gt;&lt;br&gt;The Entire universe is powered on renewable energy.</t>
  </si>
  <si>
    <t>I dont feel any shame or gilt. Am happy if I can afford to travel, LOL!</t>
  </si>
  <si>
    <t>Flying french fries :D :D :D</t>
  </si>
  <si>
    <t>The world should build sand batteries hand over fist! I still hear the old mantra: &amp;quot;The wind doesn&amp;#39;t blow and the sun doesn&amp;#39;t shine!&amp;quot; This problem is non existant anymore!&lt;br&gt;BBC go and promote this tech ASAP!</t>
  </si>
  <si>
    <t>The earth is about to die and they still demand profit when transiting to green energy. Shameless greedy low life and murderer of humanity</t>
  </si>
  <si>
    <t>We will not gonna make it</t>
  </si>
  <si>
    <t>Looks chilly and gloomy there; could use some global warming _xD83D__xDE0A_</t>
  </si>
  <si>
    <t>Mirror concentrators are not as cost effective as solar panels</t>
  </si>
  <si>
    <t>We already are at 2 degrees warmer in 2023. So the notion that we are going&lt;br&gt;To limit temp to 1.5 is delusional.</t>
  </si>
  <si>
    <t>Shame on BBC for spreading Delta Airlines&amp;#39; greenwashing. Global aviation represents 2.4% of global anthropogenic CO2 emissions, but roughly 3.7% of anthropogenic radiative forcing in 2018 came from aviation, and aviation emissions are growing 5% per year. Sostainable Aviation Fuel (SAF) is not a real solution. It may have net zero CO2 emissions, but Lee et al (2021) estimates that global aviation in 2018 had a radiative forcing of 100.9 mW/m2, of which 57.4 mW/m2 was from contrail cirrus clouds, 34.3 mW/m2 from CO2, 17.5 mW/m2 from NOx, 2.0 mW/m2 from stratospheric water and 0.94 from soot. In other words, SAF will only solve a third of the problem, but does nothing to address the other two thirds of the problem. &lt;br&gt;&lt;br&gt;Hydrogen planes are potentially worse than today&amp;#39;s planes, because hydrogen planes will emit even more water vapor, leading to more contrails and more cirrus cloud formation, plus hydrogen tanks are high problematic from an engineering point of view. The only real solution is battery electric planes and VTOLs for short distance flights and airships and hybrid airplanes for long distance flights. Another option is switching more travel to electric high-speed trains or hyperloops. Hybrid airplanes can switch to their electric motors when passing through atmospheric conditions where cirrus cloud formation is likely. &lt;br&gt;&lt;br&gt;Until electric and hybrid planes are developed, the only solution is for planes to try to fly around areas in the atmosphere where cirrus cloud formation is likely, and the BBC should have asked Delta whether it would spend the extra money in fuel and incur the disruption of flight time schedules to do that. It was very poor journalism by the BBC to not understand the science and to not ask Delta the relevant questions, rather than letting the airline spew its greenwashing nonsense about SAFs. &lt;br&gt;&lt;br&gt;The methane from fossil fuel sources has a GWP-20 (global warming potential over 20 years) of 82.5 and a GWP-100 of 29.8 (IPCC AR6 WGI, 2021), meaning that 1 gram of methane has the same greenhouse warming effect as 82.5 grams of CO2 over 20 years or 29.8 grams of CO2 over 100 years. which is a lot more than &amp;quot;a greenhouse gas several times more potent than CO2&amp;quot;, as this video said at &lt;a href="https://www.youtube.com/watch?v=gLvkWpnzba8&amp;amp;t=02m02s"&gt;02:02&lt;/a&gt;. Since methane lasts an average of 12 years in the atmosphere (technically, its perturbation time), it has a higher impact in the short term.</t>
  </si>
  <si>
    <t>In his book Rethinking Humanity, Tony Seba along with James Arbib, the founders of Rethink X, say that not only is ditching fossil fuels possible but economical. They say that the transition to solar, wind, and batteries will happen for economic reasons meaning that in 10 years time, most fossil fuel projects will become stranded assets. It’s worth a read</t>
  </si>
  <si>
    <t>Hi All think on this wind and solar are green right ? Sorry wrong green means no landfill issues . But it works you say !! Well no it is the wrong type we need Baseload instant reliable feed power . now i am all for green but if it ends in landfill in part or hole then its not green. So how about the idea that all the dams that are not green due to the concrete are made to make more power? It can be made all have only one bank of turbines that can now change to three banks in some cases. Yet no one is doing it why Because of you not pushing thing .</t>
  </si>
  <si>
    <t>I don&amp;#39;t know about saying Burlington is 100% renewable, this only seems to refer to the electricity grid, not transport, also not city heating according to one website, whatever that means exactly, might be a lot in their climate. Transport is usually around 30% of emissions. If they had gotten everyone to buy an electric car they would have mentioned that somewhere surely, this would cut transport emissions to about half, 15%, still perhaps not enough. &lt;br&gt;It is common to talk about being 100% renewable without counting transport, this seems rather self-deluding avoiding addressing the probable need for walkable, &amp;quot;15 minute&amp;quot;, cities or communities bypassing transport where possible.</t>
  </si>
  <si>
    <t>Only roughnecked for a few months over the years, though always wrote the days’ procedure and correct me, yet, couldn’t the company set a plug, as these would be vertical wells, and pump to the backside to some sort of bottom well (the plug)  [and bottom tubing having a gate] casing/tubing flow reverse to heat a special geothermal fluid to heat some farmers combine/manufacturing shop? Guys are spending a couple hundred bucks a month heating them shops and the equipment is too expensive to be left outside.</t>
  </si>
  <si>
    <t>There is a difference between renewable energy and emission-free energy.  Bio-fuel emits CO2 and other bad stuff.  We need to transition to 100% emission-free, basically solar, wind, and batteries (SWB).  When I got going in climate change, renewable sounded great.  In fact, I founded a group called Renewable Taos.  As time went on and we made local progress, we realized that we really need to focus on emission-free.  That is the only proper focus to avert catastrophic climate change.  It&amp;#39;s a transition, so bio-fuels have some reason.  But, they are actually very dirty.  SWB is the actual solution.  Cooking oil and ethanol are actually bad sources of energy.</t>
  </si>
  <si>
    <t>People talk soooo much. Net Zero and what not... But in reality the co2 ppm is rising, like it always did. Nothing in that ever changed since mankind invented the combustion engine. And as poor nations develop, they use all technology they can, for the little money they have. That only means more emissions.&lt;br&gt;And that only means, the co2 ppm will keep on rising. Even if it will rise slower, it will still keep rising. No one ever talks about that. Ye I wonder why.</t>
  </si>
  <si>
    <t>Eight years? Try six.</t>
  </si>
  <si>
    <t>This is the third video I&amp;#39;ve seen today making promises that won&amp;#39;t be kept. The doomers are starting to get people worried. Good. People need to be worried and not lulled into continuing business as usual.</t>
  </si>
  <si>
    <t>Renewable energy, and reaching net zero, currently, there is a lot of effort put into persuading people to buy electric cars, and install heat pumps, while these attempts may be &lt;br&gt;done with the best of intensions, but unfortunately this is the equivalent to putting the (cart before the horse) If everyone switched over in the next few years, the only way we &lt;br&gt;have of suppling enough electricity to power all these devices, would be to pump more natural gas through our gas powered generating plants.&lt;br&gt;&lt;br&gt;I believe that our top priority should be to build much more renewable energy generating Capacity, together with energy storage, because energy storage is the key to making any &lt;br&gt;Renewable energy system a realistic alternative to fossil fuels.&lt;br&gt;&lt;br&gt;But how much more renewable energy generating capacity do we need? I say 50% more than would be needed on a typical day, so that the surplus can be stored as Green chemical &lt;br&gt;energy, probably Green Hydrogen for days when the sun does not shine, and the wind does not blow, but also, as fuel for heavy vehicles, ships, planes and anything else were batteries &lt;br&gt;or a cable would not be appropriate.&lt;br&gt;&lt;br&gt;For most of the world, renewable energy will be in the form of solar or wind, but in some places wave or tidal energy would be an option and a few places will have the option of a &lt;br&gt;base load generated by nuclear, but most will need some form of energy storage, luckily there is a huge range of options trying to get your attention, from a variety of battery types, &lt;br&gt;from sodium-ion or sulphur variants, redox flow batteries, Nickel Hydrogen, to domes filled with CO2 as part of a compressed gas system, but not lithium-ion batteries, which keep &lt;br&gt;getting more expensive due to rarity of the materials they are made from, plus, there is environmental damage caused by the mining and processing of these materials, then there &lt;br&gt;are the slightly unusual options employing the raising and lowering of weights to store energy.&lt;br&gt;&lt;br&gt;Then there is long-term storage, for when the wind and the sun don’t play ball for days or even weeks at a time. Every winter the U.K. is subject to meteorological weather events, &lt;br&gt;known as a blocking high pressure system, which can last for up to two weeks at a time, and they usually come complete with a blanket of cloud, which further reduces an already &lt;br&gt;limited amount of light for solar panels, plus there is little, or no wind for the wind turbines, leaving us with just nuclear power stations, that supply only 30% of our energy needs, &lt;br&gt;&lt;br&gt;which will go nowhere near meeting our energy demands, put simply we need a system that can store and supply between 60 to 70% of our energy needs for up to a month each &lt;br&gt;winter, only a chemical storage system, such as green Hydrogen would have the capacity to storage energy for such a period, if we are not to fall back onto fossil fuels.&lt;br&gt;&lt;br&gt;It has been suggested that large scale energy storage is unnecessary, and that we should rely on interconnectors under the sea to transfer electricity backwards and forwards &lt;br&gt;between ourselves and Europe, on the assumption that some part of Europe will always have a surplus we can use, but I can see a scenario where eastern Europe is suffering a &lt;br&gt;winter cold snap and needs all the energy it can get, Britain and the low countries are stuck under a blocking high pressure system, so no wind, plus Spain and Portugal are covered by &lt;br&gt;rain bearing cloud, so minimal solar power, and such a situation would not be that unusual, and given recent developments with the war in Ukraine to satisfy a small man’s ego,&lt;br&gt; it would be extremely unwise to assume that our partners in Europe will always be willing, or even able to supply us with what we want, when we want it, generating and storing our &lt;br&gt;own surplus energy, means we stay in control. Interconnectors under the sea would be nice to have but should not be relied upon. &lt;br&gt;&lt;br&gt; Another idea doing the rounds, says we build the bare minimum amount of renewable Capacity, and use smart technology to switch on or off an internet of things, as a way of &lt;br&gt;balancing supply and demand, where large tech companies would control the operation of everything from large factories, to your domestic washing machine or fridge, I believe this is &lt;br&gt;a distraction, I believe that the big technology companies could build such a smart system,  but I also believe that the tech companies already have too much control over our lives, and &lt;br&gt;I believe our goal should be to build 50% more renewable capacity than we need, so the excess can be stored, and we do not have to rely on a smart system that could be hacked.</t>
  </si>
  <si>
    <t>We already got pass the 2*C increase - world needs tidal power more than solar or coal.</t>
  </si>
  <si>
    <t>Earth is cooler w atmos/GHGs/30% albedo not warmer.&lt;br&gt;Ubiquitous GHE heat balance graphics don’t + violate LoT.&lt;br&gt;Kinetic heat transfer processes of contiguous atmos molecules render BB impossible.&lt;br&gt;No GHE or CAGW.</t>
  </si>
  <si>
    <t>The BBC&amp;#39;s job, across it TV and Radio, is to be positive. It doesn&amp;#39;t matter how bad the facts are! Re: Airlines, much quicker would be better investment in public transport, train, bus and boat, so that planes trips less than 4 hours long can be banned. Because it&amp;#39;s these short flights that are the most polluting!</t>
  </si>
  <si>
    <t>What a load of horse _xD83D__xDCA9_.  Human influence is miniscule on the planet.   We are experiencing a change in the climate because the planets tilt and wobble is starting it&amp;#39;s 20,000 year change in position. Which is fact documented in geology, earth and ice samples.  For example north Africa, the Sahara was green and wet 20,000 years ago and then the planets tilt and wobble changed and it dried up.  What is happening now 20,000 years later it is starting to get flooding rain in areas that hasn&amp;#39;t had such rain in human memory.  That&amp;#39;s nothing to do with mankind making any impact.</t>
  </si>
  <si>
    <t>No doubt all those solar panels in Morocco were mined, built, transported with fossil fuels, not green at all.</t>
  </si>
  <si>
    <t>carbon neutral</t>
  </si>
  <si>
    <t>YouTube is a spam and troll hellscape.</t>
  </si>
  <si>
    <t>Huge parts of Brazil and Paraguay rely only on hydro electricity since decades, congrats Vermont to joining the club, but claiming to be a pioneer is laughable.</t>
  </si>
  <si>
    <t>wow...I didn&amp;#39;t know about that methano gas still going out from those holes!good for those working in canceling them!great for the city fully covered by renewable sources and also the sand battery was amazing news. I&amp;#39;m already subscribed to the newsletter as well! hugs from Havana</t>
  </si>
  <si>
    <t>Save Our Planet Now!</t>
  </si>
  <si>
    <t>More hymns and catechisms from old beeb on our apparent new global religion of climate change. _xD83D__xDE44_Keeping with the style of a uselessly dull religious service, the reporting isn&amp;#39;t even GOOD, it&amp;#39;s a cobbled together bunch of B-roll with each &amp;quot;story&amp;quot; having about the same depth as a sidewalk puddle. The presenter clearly is painfully clueless about a number of the technologies shown and seems to care about the topics even less than he understands them. This kind of bilge epitomizes why I practically never pay any attention to legacy media anymore.</t>
  </si>
  <si>
    <t>8% really worthy the news??</t>
  </si>
  <si>
    <t>SAS code green</t>
  </si>
  <si>
    <t>Here&amp;#39;s a Solution to fight with Climate Change via Clean Solar Energy before 2030,&lt;br&gt;&lt;br&gt;Solution to Finance, Land Requirements, Transmission Loss, Pollution, EV Charging on the Go, Climate Change, unemployment, n many more benefits &lt;br&gt;&lt;br&gt;lightenmyways</t>
  </si>
  <si>
    <t>you have to flare it</t>
  </si>
  <si>
    <t>Generated using Talkbud (Browser Extension):&lt;br&gt;_xD83D__xDCDD_ Summary of Key Points:&lt;br&gt;&lt;br&gt;_xD83D__xDCCC_ The video highlights the issue of abandoned oil and gas wells that continue to pollute even after being shut down. Workers are sealing off these wells in residential areas to prevent methane emissions and their impact on climate change.&lt;br&gt;_xD83E__xDDD0_ The progress in renewable energy is discussed, with wind and solar energy making up 12% of global electricity supply in 2022. The video showcases the largest solar plant in Morocco as an example of the potential of solar energy.&lt;br&gt;_xD83D__xDE80_ The aviation industry faces challenges in decarbonizing due to reliance on jet fuel. Sustainable aviation fuel (SAF) made from renewable sources is seen as a potential solution, but scaling up production is a challenge.&lt;br&gt;&lt;br&gt;_xD83D__xDCA1_ Additional Insights and Observations:&lt;br&gt;&lt;br&gt;_xD83D__xDCAC_ &amp;quot;The scale of the problem is vast, with over 120,000 documented abandoned oil and gas wells in the United States alone.&amp;quot;&lt;br&gt;_xD83D__xDCCA_ Wind and solar energy made up 12% of global electricity supply in 2022.&lt;br&gt;_xD83C__xDF10_ The International Energy Agency recommends tripling global renewable power capacity by 2030 to limit global warming.&lt;br&gt;&lt;br&gt;_xD83D__xDCE3_ Concluding Remarks:&lt;br&gt;&lt;br&gt;The video emphasizes the need to address the legacy of fossil fuels, increase renewable energy capacity, and find innovative solutions for energy storage and decarbonizing industries like aviation. It highlights the challenges and efforts in transitioning to a greener future.</t>
  </si>
  <si>
    <t>With global temperatures hitting record highs, and extreme weather events affecting people around the globe, this year’s UN climate change conference, COP28, is a pivotal opportunity to correct course and accelerate action to tackle the climate crisis. COP28 is where the world will take stock of progress on the Paris Agreement – the landmark climate treaty concluded in 2015 – and chart a course of action to dramatically reduce emissions and protect lives and livelihoods.</t>
  </si>
  <si>
    <t>Renewable are not solution because they also pollute the environment and are not totally free of pollution &lt;br&gt;Therefore it is necessary to live very simple life like before people lived before the industrial revolution times &lt;br&gt;And also another thing which is extremely necessary is to reduce the population of the word &lt;br&gt;And it is also very necessary to end capitalism and shift to bio economy or circular economy . &lt;br&gt;There must be no joke with the planet EARTH</t>
  </si>
  <si>
    <t>How do we run farm tractors, not with solar or wind power.</t>
  </si>
  <si>
    <t>Top stuff - great that you managed to be positive for almost half an hour. That&amp;#39;s a refreshing change in this sphere _xD83D__xDC4F__xD83D__xDC4F__xD83D__xDC4F_</t>
  </si>
  <si>
    <t>Wow, what a puff peace.  There is no serious journalism here.</t>
  </si>
  <si>
    <t>It&amp;#39;s a bit of a half truth that renewables are cheaper than conventional alternatives.&lt;br&gt;&lt;br&gt;Yeah it&amp;#39;s cheaper, if you don&amp;#39;t include the necessary storage, transmission and nation wide interconnectivity needed to reduce storage needs.&lt;br&gt;&lt;br&gt;It&amp;#39;s akin to me selling you the cheapest house on the market, but failing to disclose it still needs a roof and foundation</t>
  </si>
  <si>
    <t>&lt;a href="about:invalid#zCSafez"&gt;&lt;/a&gt;Mrs Richards: &amp;quot;I paid for a room with a view !&amp;quot;  &lt;br&gt;Basil: (pointing to the lovely view) &amp;quot;That is Torquay, Madam .&amp;quot;  &lt;br&gt;Mrs Richards: &amp;quot;It&amp;#39;s not good enough!&amp;quot;  &lt;br&gt;Basil: &amp;quot;May I ask what you were expecting to see out of a Torquay hotel bedroom window ? Sydney Opera House, perhaps? the Hanging Gardens of Babylon? Herds of wildebeest sweeping majestically past?...&amp;quot;  &lt;br&gt;Mrs Richards: &amp;quot;Don&amp;#39;t be silly! I expect to be able to see the sea!&amp;quot; &lt;br&gt;Basil: &amp;quot;You can see the sea, it&amp;#39;s over there between the land and the sky.&amp;quot;  &lt;br&gt;Mrs Richards: &amp;quot;I&amp;#39;m not satisfied. But I shall stay. But I expect a reduction.&amp;quot;  &lt;br&gt;Basil: &amp;quot;Why?! Because Krakatoa&amp;#39;s not erupting at the moment  ?&amp;quot;</t>
  </si>
  <si>
    <t>&amp;quot;orphan wells&amp;quot;&lt;br&gt;&lt;br&gt;socialized clean up, privatized profits!&lt;br&gt;hurray!</t>
  </si>
  <si>
    <t>A factual non-biased documentary, are you sure this is a BBC programme? Martyn. &lt;a href="https://www.youtube.com/watch?v=gLvkWpnzba8&amp;amp;t=23m43s"&gt;23:43&lt;/a&gt;</t>
  </si>
  <si>
    <t>What about pollution from so called renewables? For eg solar panels, EV batteries, bio diesel etc?&lt;br&gt;What about fossil fuels spent by the world leaders and their camp followers jetting around, staying in seven star hotels, attending conferences to save the world? &lt;br&gt;This is only fun and frolic for leaders who achieve little but know how to enjoy life by staying in power. Climate change is a real threat but the solution prescribed is worse than the decease.&lt;br&gt;Solution lies in reversing population growth in the third world countries. Our planet simply can’t support eight billion people. Polluters are nations in the Middle East, Indian subcontinent &amp;amp; Africa.</t>
  </si>
  <si>
    <t>Burlington might have 100% renewable energy, but it is far from zero carbon emissions. In fact with one third of its electricity coming from burning biomass, it is in fact a big emitter of greenhouse gases.</t>
  </si>
  <si>
    <t>Unfortunately every watt of alleged green power has to be backed up with fossil fuel as if you don&amp;#39;t you have power cuts as proven in the UK when it was tried. So not only do you have to manufacture the reusable equipment thay are actually increasing pollution as there&amp;#39;s on way to guarantee power with out fossil fuel &amp;amp; we are burning fossil fuel &amp;amp; not using it just wasting it.</t>
  </si>
  <si>
    <t>We do not have the time with renewables after 20yrs of wind &amp;amp; solar energy failure.  Climate change and CO2 can be reduced quickly with new nuclear, but the old extremist/populist anti-nuclear groups are  the problem to solving climate change and the green parties do not have the solutions.  Many green parties build new fossil fuel gas/coal because renewables requires two energy systems due to their low output and unreliability.  But this dual renewable energy system (wind/solar with gas/coal in via the backdoor) is never properly counted from a cost perspective.  Look at New York, closed nuclear increased CO2 with more gas power.  Renewables not working.   The largest wind farm in Europe has gone bankrupt, environmental damage from wind plants in the sea poison the food chain with microplastics from the turbine blades, solar needs batteries but the promised battery technology does not appear.  You pick a solar plant, but do not pick the solar plant which went bankrupt, &lt;a href="https://www.greentechmedia.com/articles/read/americas-concentrated-solar-power-companies-have-all-but-disappeared"&gt;https://www.greentechmedia.com/articles/read/americas-concentrated-solar-power-companies-have-all-but-disappeared&lt;/a&gt;.  Be honest, stop peddling failed fake old renewable promises, go for new nuclear.  70% nuclear, 20% hydro, 10% solar/wind.  We need new solutions, not old renewables, fossil free power, like Sweden.  Drop the fake renewable failures.  Then we can have a clean, happy planet with nature protected from the wind &amp;amp; solar industry environmental damage.</t>
  </si>
  <si>
    <t>Just stop flying _xD83E__xDD37__xD83C__xDFFB_‍♂️. Use zoom or take a train.</t>
  </si>
  <si>
    <t>Are there enough raw materials for renewables?</t>
  </si>
  <si>
    <t>Great video on renewable energy! As an outdoor enthusiast and RV lover, I highly recommend the Segway Portable PowerStation Cube Series. Its versatile design, massive capacity, and fast recharging make it perfect for extended outdoor adventures. Plus, its waterproof technology ensures it can handle any weather condition. Check it out!</t>
  </si>
  <si>
    <t>There is no climate emergency, CO2 is not causing warming of the planet. Go research the heat forcing properties of CO2, it’s a minor inefficient greenhouse gas. Stop swallowing what the media feeds you. Do your own research!!</t>
  </si>
  <si>
    <t>There’s thousands of them all the us and by law &lt;a href="https://www.youtube.com/watch?v=gLvkWpnzba8&amp;amp;t=3m19s"&gt;3:19&lt;/a&gt; &lt;a href="https://www.youtube.com/watch?v=gLvkWpnzba8&amp;amp;t=3m20s"&gt;3:20&lt;/a&gt; the oil companies only have to deal with a few every year</t>
  </si>
  <si>
    <t>Delta is full of it. Greenwashing. They&amp;#39;re not the only airline at this either.</t>
  </si>
  <si>
    <t>Millions of years ago dinosaurs farted methane that set the world on fire.</t>
  </si>
  <si>
    <t>Never fly, walk take public transport, phone, go online for conferences.  There is no way for many-many decades to fly without destroying the planet.  There is hope in the return of airships.  Canceling methane is a hopeful move.  I doubt if renewables can do the job by   themselves.  Modular nuclear is now cheaper and safer.  fossil fuels kills 8.1 million people every year then hurricanes, wild fires, floods kills and uproots many more.  Killing more indirectly by the loss of crops so by starvation.  There is some greenwash in this programme.  If we don&amp;#39;t face the gravity and difficulties of the climate catastrophe honestly we will not solve it.</t>
  </si>
  <si>
    <t>Nice, but greenwash from the aviation industry.  What needs to be said is &amp;#39;we need to fly less&amp;#39; - but will an industry based on making profit from air transport ever say &amp;#39;consume less to reduce the footprint&amp;#39;?</t>
  </si>
  <si>
    <t>In October 2022 UN Under Secretary General for Global Communications Melissa Fleming speaking at the WEF event said that any search on Google always returned their data on climate change. She then stated that “we (the UN) own the science” So much for independent climate science?</t>
  </si>
  <si>
    <t>For the metane emission, Dairy/beef industries should have been mention since they are the greatest emitors by far.</t>
  </si>
  <si>
    <t>What does upstate New York mean ? State of New York rather than the city of New York?  Upstate= in the mountains? or upstate= in the north of the state ?</t>
  </si>
  <si>
    <t>Is any of this related to the title ? No it doesn&amp;#39;t seem to be.  Why not simply type a sting of nonsense as the title?  Oops sorry, you have.</t>
  </si>
  <si>
    <t>Great job,sealing old oil and gas wells _xD83D__xDC4C__xD83D__xDC4D_</t>
  </si>
  <si>
    <t>The challenge of climate change and the energy transition is not the &amp;#39;how&amp;#39; or the &amp;#39;cost&amp;#39; but politics and nay sayers who fear change and are the target of lobby groups. Just think about this. It is cheaper to build a solar / wind with pv storage solution that generates the same amount of power than to run a equivalent capacity gas powerplant for 1 year. Think about it. How much you hate change, that is so absurdly cheap that even the most climate critical political party cannot ignore it. So what about intermittency in winter and at night? Easy we just build 7x the capacity of the fossil fuel counterparts. We would make that money back in 7 years! And the added bonus: if the wind is blowing and the sun is shining: energy will be near free. The biggest problem: What company would build so many renewables if you cant charge for it when they are generating the most? Companies will not do it, governments will need to do it. The energy transformation will shift the power from energy companies back to gouverments and the economy will be booming because power will be almost free.... The energy transition challenge is the people who are opposed to change. We need to convince people to accept the change and see the potential.</t>
  </si>
  <si>
    <t>Of course.  It is just a matter of time.&lt;br&gt;&lt;br&gt;Regeneratives are available right now, and would greatly accelerate an all-sustainables global economy. &lt;br&gt;&lt;br&gt;The build out of primary inputs will take some time.  But, at some point renewables heavy energy production would be the norm.</t>
  </si>
  <si>
    <t>I am none the wiser as to whether the world can rely on renewable energy. Lot&amp;#39;s of cool tech here but no real numbers on how scaleable they are _xD83E__xDD37_</t>
  </si>
  <si>
    <t>Great video on renewable energy! I highly recommend the Segway Portable PowerStation Cube Series for outdoor enthusiasts like us. It has massive capacity, fast recharging, and versatile sockets. Plus, it&amp;#39;s waterproof and has comprehensive protections. Check it out for reliable power during your camping trips or as a backup at home.</t>
  </si>
  <si>
    <t>❤</t>
  </si>
  <si>
    <t>This is the BBC? Did I turn American overnight and nobody tell me?</t>
  </si>
  <si>
    <t>Excellent review.</t>
  </si>
  <si>
    <t>In the future every human being will be required to pay a fart tax for themselves and their pets and live stock</t>
  </si>
  <si>
    <t>Natural geologic white Hydrogen exploration lithosphere sedimentary basins and non sedimentary large igneous provinces Hydrogen and lithium</t>
  </si>
  <si>
    <t>_xD83D__xDEF8__xD83D__xDC7D_</t>
  </si>
  <si>
    <t>No the world cannot have renewable energy. Technically all energy we have access to is coming from the Sun. All this will end in few billion years from now and we all have to dig for another star _xD83D__xDE05_</t>
  </si>
  <si>
    <t>Where is the dividing line betweenhuman caused and natural Climate Change. Without that knowledge all the crap being spread means absolutely nothing. If the speed linit is 80 mph you know the deviding line between a speeding ticket and getting home in time for dinner is at 80 mph &lt;br&gt;So when any of these climateers claim it&amp;#39;s &amp;quot;HUMAN CAUSED&amp;quot; it means absolutely nothing because there is no indication of what and how much is natural causes.&lt;br&gt;Natural Causes like 1000&amp;#39;s of undersea volcanoes or the increase of the population from 2.5 billion to 8 billion in just 60 years.&lt;br&gt;How is Lightning generated forest fire &amp;quot;Human Caused?&amp;quot;...These wannabe climateers don&amp;#39;t have the sense of pocket lint. Without Carbon, we&amp;#39;re all dead.......only an idiot can&amp;#39;t understand that.&lt;br&gt;Not to mention there is no TECHNOLOGY available on earth that provide and average temperature. Earth has 200 million sq miles of are. 71% of that is ocean. Everything thats water, wind, gravity and sunlight are in constant motion every millisecond of time. When some one claims 1.5 inches of sea level change, it&amp;#39;s a good bet they know nothing.&lt;br&gt;Temperture ...look at it with your own eyes on the weather channels. In one city it change from area to area by 8 or 10 degrees between breakfast and dinner. How can you possibly get an average of 1.5 degrees.&lt;br&gt;There is a serious mental absence here</t>
  </si>
  <si>
    <t>&lt;a href="https://www.youtube.com/watch?v=G3GDuCF_pbI"&gt;https://www.youtube.com/watch?v=G3GDuCF_pbI&lt;/a&gt; 　文化人放送局2幸祐Night 長尾.吉田　中国のSilentインベージョン最前線／自民パー券騒動と黒幕　1時間&lt;br&gt;&lt;br&gt;&lt;a href="https://www.youtube.com/watch?v=MlTnMbGVRlw"&gt;https://www.youtube.com/watch?v=MlTnMbGVRlw&lt;/a&gt; 　文化人放送局2　①今週のド左翼ニュース・政権って譲って貰う物じゃないだろ？　メンバー限定ライブ【長尾たかしフライデーLive】吉田康一郎×小野寺まさる&lt;br&gt;&lt;br&gt;&lt;a href="https://www.youtube.com/watch?v=gl2OcZpTKqE"&gt;https://www.youtube.com/watch?v=gl2OcZpTKqE&lt;/a&gt; 　文化人放送局加藤・山口敬之WeakEndLive【乗取り】特捜が脳死状態の岸田政権・派閥政治家のタマは掌握完了…なのに岸田総理がニタニタする邪悪な理由。安倍幹事長時代知らぬマスコミの罪&lt;br&gt;&lt;br&gt;&lt;a href="https://www.youtube.com/watch?v=KehRZMSIwSw"&gt;https://www.youtube.com/watch?v=KehRZMSIwSw&lt;/a&gt; 　ささやん【立憲 裏金調査チーム】始まる前からツッコミ殺到【韓国 国賓招待】オランダ激オコ、大使を呼びつける&lt;br&gt;&lt;br&gt;&lt;a href="https://www.youtube.com/watch?v=W0PJcRLzmdU"&gt;https://www.youtube.com/watch?v=W0PJcRLzmdU&lt;/a&gt; 　will 長尾たかし 平井広治【内閣支持率17%】岸田政権・自民党崩壊が止らない！&lt;br&gt;&lt;br&gt;&lt;a href="https://www.youtube.com/watch?v=ic03mjYxPBc"&gt;https://www.youtube.com/watch?v=ic03mjYxPBc&lt;/a&gt; 　神河薫　北朝鮮の弾薬が露軍の前線に到着。暴発、不発、不具合多発。一方、ロシアから北朝鮮に送られた食料、小麦粉は保管期限切れの余り物？宇国情勢の関連&lt;br&gt;&lt;br&gt;&lt;a href="https://www.youtube.com/watch?v=_4OniZKnIv4"&gt;https://www.youtube.com/watch?v=_4OniZKnIv4&lt;/a&gt; 　ゆっくり軍事　極寒の露で暖房使えず市民大激怒抗議-Putin露軍関係者に激怒！&lt;br&gt;&lt;br&gt;&lt;a href="https://www.youtube.com/watch?v=PhTynXqTdeY"&gt;https://www.youtube.com/watch?v=PhTynXqTdeY&lt;/a&gt; 　本山ch　中国の外務長官 習近平を裏切った　ロシアの密告力　プーチンの力&lt;br&gt;&lt;br&gt;&lt;a href="https://www.youtube.com/watch?v=ydSKmaCewo4"&gt;https://www.youtube.com/watch?v=ydSKmaCewo4&lt;/a&gt; 　園長　自衛隊イベントで国籍制限に賛否両論！反日在日不法移民勢の理不尽な難癖に「国防に国籍制限は必要な措置」: 戦後GHQ法改正で中韓人等在日勢の国家乗っ取り危機HelpJapan&lt;br&gt;&lt;br&gt;&lt;a href="https://www.youtube.com/watch?v=6qtdM6vQSvo"&gt;https://www.youtube.com/watch?v=6qtdM6vQSvo&lt;/a&gt; 　園長　③また技能実習生400名失踪発覚！島根・鳥取での衝撃的な数字と偽札刷った中国人技能実習生が不起訴処分の本当の理由&lt;br&gt;&lt;br&gt;&lt;a href="https://www.youtube.com/watch?v=MaA0-ulhEMY"&gt;https://www.youtube.com/watch?v=MaA0-ulhEMY&lt;/a&gt; 　日本改革党くつざわ亮治　中国人パー券購入無制限問献金は 禁止でも、いくらでも政治屋に金を渡せる、カラクリ／大阪万博バス運転手100人以上不足／際限無く膨らむ万博予算に非難轟々&lt;br&gt;&lt;br&gt;&lt;a href="https://www.youtube.com/watch?v=0pseygWgdGo&amp;amp;t=23s"&gt;https://www.youtube.com/watch?v=0pseygWgdGo&amp;amp;t=23s&lt;/a&gt; 　青山繫晴議員　「岸田総理 辞任会見？？」&lt;br&gt;&lt;br&gt;&lt;a href="https://www.youtube.com/watch?v=kb3bGJVmrsE"&gt;https://www.youtube.com/watch?v=kb3bGJVmrsE&lt;/a&gt; 　一月万冊本間龍　大阪万博開催不能！尚一人あたりの負担額￥10万！大阪府も大阪市も政府も予算増加も赤字の責任は誰も取らない「最後は税金で搾る！」: 国民負担率の上るほど国家が萎縮！財務真理教ヤメロ&lt;br&gt;&lt;br&gt;&lt;a href="https://www.youtube.com/watch?v=igWY1-waFt0"&gt;https://www.youtube.com/watch?v=igWY1-waFt0&lt;/a&gt; 　上念司　中国経済ガチカウントダウン！碧桂園、資産を切り崩しながら元建債の８億元を一括返済！？デフォルト回避？も市場に逆に「大丈夫なのか？」と衝撃走る。&lt;br&gt;&lt;br&gt;&lt;a href="https://www.youtube.com/watch?v=USXohf2Wp_0"&gt;https://www.youtube.com/watch?v=USXohf2Wp_0&lt;/a&gt; 　フィフィ　【忠実の日本国民vs闇金893】中国株売れず香港証券会社79社閉鎖。一方で日本株は上昇率・世界1位。: 未上場も含め、企業だけ過去最高益内部留保vs国民増税保障減でヘロヘロ。&lt;br&gt;&lt;br&gt;&lt;a href="https://www.youtube.com/watch?v=S1mUjLAHOF4"&gt;https://www.youtube.com/watch?v=S1mUjLAHOF4&lt;/a&gt; 　まなびば【参政党】聴衆も戻！今年最後の新橋！神谷宗幣 松田学 後半議員演説！&lt;br&gt;&lt;br&gt;&lt;a href="https://www.youtube.com/watch?v=vvAOiJ6wxj0"&gt;https://www.youtube.com/watch?v=vvAOiJ6wxj0&lt;/a&gt; 　カピバラ　武田邦彦「私は参政党」: ?武田氏は既参政党より書面で更迭とのこと。</t>
  </si>
  <si>
    <t>The battery is better and better. Electric motors is the best for the good of our mother earth.</t>
  </si>
  <si>
    <t>We really have to ponder this: why do the UK citizens pay a few times MORE than most people in the world when the renewables can now be even cheaper than energy from fossil fuels? To put it into perspective, in some Asian countries that only use natural gas to generate electricity, they pay only 10-12p per kwh (without standing charge) while we are paying bloody 27p per kwh + 35-40p standing charge per day! How could ours be that expensive?&lt;br&gt;There must be something wrong with our system! Our government must fix this or everyone in the UK will continue to suffer badly, both socially and economically.</t>
  </si>
  <si>
    <t>Woodchip deprives forrest regen of vital  biomass burning is co2 intensive trucking priduct is co2 intensive &lt;br&gt;It is not a solution you are plugging gaps with another ff use fools</t>
  </si>
  <si>
    <t>I need help</t>
  </si>
  <si>
    <t>Renewable Energy? Whahahahaha!</t>
  </si>
  <si>
    <t>No one knows the future ok</t>
  </si>
  <si>
    <t>Love You All Sir Ji and All Mam❤️❤️❤️. (Please save the Earth_xD83D__xDE4F__xD83D__xDE4F__xD83D__xDE4F_) (कृपया पृथ्वी को बचाएं_xD83D__xDE4F__xD83D__xDE4F__xD83D__xDE4F_)</t>
  </si>
  <si>
    <t>Interesting. Burning wood waste (biomass) is considered renewable energy and lumped in with solar, wind, hydro and geothermal. Perhaps we need to talk more about emission-free energy since burning biomass puts CO2 and other combustion by-products directly into the atmosphere, rather than keeping it sequestered for decades in a forest that actually continuously captures CO2 &amp;amp; stores it? (Sure, trees eventually die and slowly release their stored carbon, but burning them is quick release and growing a new tree large enough to sequester the same amount of carbon as a mature tree takes decades.)&lt;br&gt;&lt;br&gt;Calling wood burning renewable energy is technically correct but still undesirable for a variety of reasons. (Notice how smooth a politician is at dodging direct questions. It&amp;#39;s a job requirement, apparently...)&lt;br&gt;&lt;br&gt;Truth be told, it is almost impossible for us to reach our global temperature targets in time, and we might not even be able to slow the increases in GHG emissions from global economic development impacts significantly. Sure, governments will trumpet the increasing percentage of energy that comes from renewables, but they will avoid discussing the growing overall global demand for energy and the increased fossil fuel consumption that will meet much of that new demand.&lt;br&gt;&lt;br&gt;The handwriting is on the wall, and all the greenwashing that sales &amp;amp; marketing and politicians can muster won&amp;#39;t change the trajectory of global GHG emissions &amp;amp; global temperature increases. Doesn&amp;#39;t mean we shouldn&amp;#39;t deploy as much emission-free renewables as we can, but that shouldn&amp;#39;t make us feel like the problem is being handled and we should just consume on without taking effective, quantifiable actions in our personal lifestyles.</t>
  </si>
  <si>
    <t>Bla bla bla. Woke. Gay guys but most troubling &lt;br&gt;delusional.</t>
  </si>
  <si>
    <t>Renewable electric is beneficial to  our climate.</t>
  </si>
  <si>
    <t>I can&amp;#39;t breath _xD83E__xDD22_</t>
  </si>
  <si>
    <t>Let&amp;#39;s consume less, in general.  Besides to expected world population decrease.</t>
  </si>
  <si>
    <t>Without fossil fuels, none of this lame garbage would be at all possible.</t>
  </si>
  <si>
    <t>Disappointing piece of propaganda. Listen to what Bjorn Lomborg and others have to say.</t>
  </si>
  <si>
    <t>It&amp;#39;s hardly an &amp;quot;energy revolution&amp;quot; when wind and solar contribute only 3% of worldwide energy use, fossil fuel consumption is still growing faster than all renewables combined, and CO2 emissions are higher than ever.  You can&amp;#39;t even call it an energy &amp;quot;transition&amp;quot;, when most of the annual growth in energy consumption is still coming from fossil fuels.  It&amp;#39;s actually just a very slow evolution in energy sources, supported by significant subsidies and regulations, enabled by unprecedented increases in mining of metals, and dependent on keeping less developed countries poor (primarily in Africa).  In short, this video is largely propaganda.</t>
  </si>
  <si>
    <t>Let me join the protest as i post my approval using my Iphone while sipping coffee in starbucks</t>
  </si>
  <si>
    <t>Remember when Green peace was pushing anti nuclear propaganda, thanks for that.</t>
  </si>
  <si>
    <t>don&amp;#39;t lie. nuclear power doesn&amp;#39;t work 24/7. power plants with 100% capacity factor don&amp;#39;t exist. france had energy crisis last year when most of its nukes stopped producing electricity. nuclear power is the most expensive power per kwh, that&amp;#39;s why nobody is building it for a long time with a few corrupt exceptions</t>
  </si>
  <si>
    <t>batteries require lithium, but just about 2% of battery content is lithium, why are you ignoring other 98% of battery materials? bev has same mass as icev, so they all require similar amount of materials. why you aren&amp;#39;t crying about ice and transmission requiring steel? anyway, those &amp;quot;requirements&amp;quot; can be reused in future cars, they are not spent by driving. only oil is spent by driving, i.e. only ice cars require something(oil). check &amp;quot;athabasca oil sands&amp;quot; on wikipedia to get a perspective.</t>
  </si>
  <si>
    <t>simpleton.</t>
  </si>
  <si>
    <t>You can still graze cattle and sheep under solar panels and wind turbines. You add value to your land by going green. Money talks.</t>
  </si>
  <si>
    <t>Mad children. Not a problem. Brainwashed.</t>
  </si>
  <si>
    <t>Electric cars, solar and windmills are the MOST destructive to the environment.  You are never told the truth about the &amp;#39;green&amp;#39; industry.</t>
  </si>
  <si>
    <t>I don&amp;#39;t know how you can support Biden&amp;#39;s claim that the &amp;quot;&amp;quot;Inflation reduction act&amp;quot;&amp;quot; did ANYTHING for anyone but the government and nameless corporations.</t>
  </si>
  <si>
    <t>What a waste of money spent on that green energy infrastructure, not to mention the environmental blight on our planet! And all for nothing, apart from lining the pockets of the globalist &amp;#39;controligarchs&amp;#39;!</t>
  </si>
  <si>
    <t>Germany has gone further than anyone towards the &amp;quot;green transition&amp;quot;. They were so confident they closed their last CO2 free Nuclear power plants. They are now deindustrializing. They have entered a rescession. They have retreated to lignite coal. They have failed.</t>
  </si>
  <si>
    <t>Not adding nuclear to the energy mix to cut atmospheric emissions makes no sense.</t>
  </si>
  <si>
    <t>The majority of the USA is grossly misinformed about power generation and power use.  We have Edison generator and dynamos power plants and vehicles to replace nuclear power plants and fossil fuels without wind power or plastic solar panels.  Edison generators generate electricity without fuel or pollution by using the field magnets to move the armature magnets and coils of copper wire.  Tesla&amp;#39;s hydroelectric power plants bound Edison&amp;#39;s generator with magnets all around the armature and used water to move the armature magnets and coils of copper wire.  An Edison generators with inverters and transformers to deliver high voltage AC power continuous peak power can equal fossil fuels power plants and nuclear power plants without fuel or pollution.  We can carry these generators in our cas and trucks and airplanes.  We don&amp;#39;t need batteries fossil fuels or nuclear power plants.  We are still grossly misinformed about power generation and power use.  The true causes of global warming and global infertility is the precious plastic manufacture herbicides and synthetic fabrics while we wait for fossil fuels diversion to atmosphere support.</t>
  </si>
  <si>
    <t>Nofing green. Non.. zero.. how many people know how the oxigen appeared on earth?? Very very little knowledge.. it is forbidden knowledge now. so how the people will evaluate the green Revolution?? It all propaganda and marketing.&lt;br&gt;&lt;br&gt;.</t>
  </si>
  <si>
    <t>Green means &amp;quot;naive, gullible, immature&amp;quot;</t>
  </si>
  <si>
    <t>Climate alarmism is becoming a real problem. People need to temper their expectations, as it is half of our emissions are being processed by nature, so if we can reach that goal, we can stabilize the climate, but thanks to this little fact of nature, the world is still standing, and the climate is changing at a vastly slower pace compared to how the climate alarmists ha predicted. If these alarmist were right, then I would not even have been born, as the world would have long since ended.</t>
  </si>
  <si>
    <t>Biggest scam pulled on humanity .</t>
  </si>
  <si>
    <t>It doesn&amp;#39;t matter how much renewables we have. What matters is how much fossil fuels we don&amp;#39;t have!</t>
  </si>
  <si>
    <t>The German economy is in deep recession. Examples and facts abound (not to mention purely macroeconomic indicators, which are also depressing). &amp;quot;Volkswagen is laying off several thousand German workers and moving production to Asia - because of expensive electricity.&lt;br&gt;The French tyre manufacturer Michelin is closing its plants in France and Germany and moving production to Asia because of expensive raw materials.&lt;br&gt;Hungary is feeling the best. Orban is sitting there, who is swearing at the aged &amp;quot;leader of the free world&amp;quot; with the last words, blocking the allocation of money to Ukraine and saying that he will not let it into the EU or NATO (although they are not taken there as before). And buys oil and gas from Russia directly at a normal price, disregarding all sanctions and &amp;quot;ceilings&amp;quot;.</t>
  </si>
  <si>
    <t>Renewables in form of wind and solar is unsuatainable. All those rare earths and elements  will have to  be mined using fossil fuels on a vast scale. It takes 15 yrs to open anew mine. Where will we get all these elements and what us environment costs?.  Lithium cobalt,chromium ,nickel,copper,silver, neodynium etc is limited&lt;br&gt;In supply andis controlledby Russia and China.&lt;br&gt;.</t>
  </si>
  <si>
    <t>&amp;quot;Environmentalists&amp;quot; keep looking UP for energy, instead of looking DOWN, at what is Close to us all, namely the heat available under the crust and performing perfectly safe fission reactions with no chance of accidents or crazy weaponizing, and being constant without the need to store energy like solar.  Even Life is theorized to have started around deep-water volcanic vents, which gave not only energy but also building blocks from deep below in the form of chemical ingredients which would have been hard to get otherwise.</t>
  </si>
  <si>
    <t>Despite Trillions being invested in so-called green energy there has been virtually no increase in the percentage of energy produced from renewables, in fact, the amount produced by coal has increased far more. Despite all the postulating by democrats and the Biden administration in the USA America is now extracting more oil than it did at any time during the Trump presidency. The North Sea wind farms, which are in an area which is supposedly one of the best in the world for wind energy, had repeatedly reported large operating losses before the Ukraine war drove prices to record levels. So much for supposedly &amp;#39;free&amp;#39; wind energy, it&amp;#39;s an unmitigated disaster. Germany&amp;#39;s, and other European countries version of clean renewable energy involves importing millions of tonnes of wood chip from South America to burn along with coal. Apparently, chopping down forests in South America, chopping it into wood pellets, drying it, hauling it to a port to load it onto ships to bring it thousands of miles to Europe to be unloaded onto more lorries to be hauled to plants to be burned along with coal is clean renewable energy and is going to save the planet. And lets not forget, It is the green party in Germany that is responsible for shutting down nuclear plants in favor of this madness!</t>
  </si>
  <si>
    <t>Unless you&amp;#39;re heavily incorporating nuclear you will not be able to go fully green. I mean even then the process im creating this stuff will still require fossil fuels. Then you have the issue of battery storage which is essential for green solution like solar and wind as you dont always have sunny or windy days. So now you have to have redundant systems that can deliver electricity when the sources of production arent there.</t>
  </si>
  <si>
    <t>The &amp;quot;net zero&amp;quot; and renewable energy is total idiocy. Some 3 to 5 trilion of dollars have been spent on this lunacy, yet only less than 5% of energy is produced by wind mills and solar panels. And to add salt to the wound, green energy companies are collapsing like flies. Sadest part of all this is, that CO2 is not controlling the temperature. As a matter of fact, we don&amp;#39;t have enough of it. Time for humanity to wake up!!</t>
  </si>
  <si>
    <t>I agree with everything, except nuclear. In todays political climate, a nuclear facility is an ideal target to be attacked by an adversary. Not only is an attack a threat to supply power, but, would render hundreds of square miles of land uninhabitable. In war, there already isn&amp;#39;t anywhere to flee, and a nuclear facility getting bombed can further greatly limit options. Operationally, modern nuclear plants are perfectly safe, but, if the &amp;quot;bottle&amp;quot; gets broken, that &amp;quot;evil genie&amp;quot; is getting out!</t>
  </si>
  <si>
    <t>I&amp;#39;m all for electrification of personal transport... Via a electrified mass transit projects. they require less resources, less space, less rare earth minerals, less long term capital, have higher socio-economic benefits and are much more efficient</t>
  </si>
  <si>
    <t>Bruh, this billionaire owned MSM are really getting annoying. So many different elitist narratives crammed down our throat in 20min _xD83E__xDD22__xD83E__xDD2E_</t>
  </si>
  <si>
    <t>So best point came from the Texan, where petrol (or gas in US Eng) is low-taxed and so cheap. Still much cheaper to charge an EV than fill up a tank.&lt;br&gt;The video didn&amp;#39;t mention China at all. It&amp;#39;s a strange choice given China is the world&amp;#39;s renewable super power. For 2023 they have installed more than the US and Europe combined. (I know they are still building coal-fired power stations,  which is odd, but renewables are booming there).</t>
  </si>
  <si>
    <t>So much bs in these videos that I understand why we all so consfused. The current human model is growing to infinity, now with wind mills and batteries? Well, think If it is logic...</t>
  </si>
  <si>
    <t>I&amp;#39;ll never support people who block traffic. It&amp;#39;s by far the most hypocritical form of &amp;quot;protest&amp;quot;</t>
  </si>
  <si>
    <t>Nothing about public collective transport _xD83D__xDE02_</t>
  </si>
  <si>
    <t>I&amp;#39;m so glad that the UK has an independent source of uranium for their nuclear power plants. I am also delighted that a permanent disposal method has finally been found. Maybe Essex.</t>
  </si>
  <si>
    <t>Like all previous activists, you will wake up one day and wonder why you wasted your life on a lie.</t>
  </si>
  <si>
    <t>Ridiculous amounts of money, mostly tax dollars, for something that is completely unnecessary.</t>
  </si>
  <si>
    <t>Complete incompetence and hysteria</t>
  </si>
  <si>
    <t>Yeah that&amp;#39;s just what we need; our energy dependant on foreign countries...worked out great for oil.</t>
  </si>
  <si>
    <t>Looking forward to seeing how the nuclear industry returns in strength with small modular reactors. I&amp;#39;m also happy to see Airbus developing hydrogen powered airplanes. We can produce the hydrogen for free from nuclear power plants!</t>
  </si>
  <si>
    <t>We really need to embrace nuclear. I&amp;#39;m more afraid of climate change than the irrational fear of nuclear waste.</t>
  </si>
  <si>
    <t>Comical.... 75% electric car sale iin 2040!? It will be 99% by 2035 or earlier. It&amp;#39;s an S curve we are on, not a straight line.</t>
  </si>
  <si>
    <t>Solar farms are destroying beautiful arable land. How is that &amp;quot;green&amp;quot;?</t>
  </si>
  <si>
    <t>Eco Propaganda from people without knowledge and intelligence</t>
  </si>
  <si>
    <t>Climate change is real and we have to act but the arrogance of many climate activists is that they&amp;#39;re willing to sacrifice the poor people of the world now to save hypothetical people of the future. It&amp;#39;s a morally dubious position at best.</t>
  </si>
  <si>
    <t>Interesting that the extremists destroying art at &lt;a href="https://www.youtube.com/watch?v=E39neWnw9AA&amp;amp;t=2m43s"&gt;2:43&lt;/a&gt; are the very reason why coal consumption went back up in 2022 as shown at &lt;a href="https://www.youtube.com/watch?v=E39neWnw9AA&amp;amp;t=5m37s"&gt;5:37&lt;/a&gt; (everyone is looking at you Germany) &lt;br&gt;Energy infrastructure ran by emotions and short-termism are the real culprits here.</t>
  </si>
  <si>
    <t>Most people will raise their hands and say: we dont need to go back to &amp;quot;stone age&amp;quot;. Sound like they really know how did people live in &amp;quot;stone age time&amp;quot;? No. Most of human history about &amp;quot;Stone Age&amp;quot; are Lost History. Human of today have no idea how did Stone Age look like. Those &amp;quot;Stone Age Time&amp;quot; only came out from historians imagination. Most of people of the modern world today cannot imagine how they would live without electricity nor high technologies and all those types of United BullShiet Nation. From the North to the South, from the East to the West. They are all lying to all generations about their ways of living and ways of developing and ways of moving to High Tech Era. What they are living behind with their Industrialization and Unification and all those big bullshiet megastructures and cities and factories and countries are Rubbishes and Toxins from their Labs and Wars. And they still telling the whole world that they are doing the best for the future. LOL.</t>
  </si>
  <si>
    <t>come to india to see paris commitment getting completed and targets being push forward again</t>
  </si>
  <si>
    <t>The biggest hurdle against going fully green? Those that are against nuclear_xD83E__xDD37__xD83C__xDFFD_‍♂️_xD83D__xDE03_</t>
  </si>
  <si>
    <t>So. Many of these protesters grew up being cossetted, their lives smoothly lubricated and warmed by cheap energy. I see that they have the trappings of technology, more gigabites and tablets that they&amp;#39;ll ever need, fashionable clothes made with....guess what..oil. The protesters disrupt with no solutions, It seems a &amp;#39;something to do&amp;#39; thing when they should be at work. Lets say that a dear parent or child fell ill and the health service despatched a horse and cart, one can imagine the damnation. The majority of the vehicles on the road have Catalytic converters, Exhaust gas regulators, particulate filters. The spectre of electric cars is becoming apparent, not as green as they first seemed, spontaneous fires that can&amp;#39;t be put out with handy means, ship wrecks,  they&amp;#39;re not the answer or part thereof. This generation has been unfairly bombarded with spin dished out by politicians jumping on the green bandwagon, a catchy phrase to plead for votes, eager to be &amp;#39;seen&amp;#39; to be doing the right thing. A huge amount has been achieved to clean up but the goalposts always get moved. It&amp;#39;s inescapable that a modern lifestyle demands a balance, I can&amp;#39;t visualise &amp;#39;net zero&amp;#39; ever happening, if everyone needs a mobile phone or suchlike. The dear injured relative would be comforted to hear the &amp;#39;chop chop chop&amp;#39; of the air ambulance approaching, but reality, (to some) rings the tink tink tink of the horses bell wearing it&amp;#39;s weary way along.</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</si>
  <si>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</si>
  <si>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 wind and solar are toxic, and unsustainable. Use cheap fossil fuels until we have a better solution.......... by the way the Ukraine has always been losing....... they lie to us.</t>
  </si>
  <si>
    <t>The message of these videos is quite worrying. It is well known that it&amp;#39;s impossible to switch to renewables maintaining this level of consumption. I don&amp;#39;t think people understand what that really means.</t>
  </si>
  <si>
    <t>We’ve had clean energy for decades. Nuclear power is amazing, people are just so hopelessly misinformed</t>
  </si>
  <si>
    <t>As part of the environment desserts still need to be protected. Also lithium mining contaminate underwater rivers. So don&amp;#39;t call them &amp;quot;green or clean energies&amp;quot;. Be honest and call them energies to reduce green house emissions.</t>
  </si>
  <si>
    <t>Not sure whether this situation is dramatic or utterly absurd. The Political system in the US, is just nuts and serves everybody but not ordinary people all on the pretense of democracy.</t>
  </si>
  <si>
    <t>Another problem is BATTERIES ARE REALLY REALLY BAD FOR THE ENVIRONMENT that needs to be solved fast</t>
  </si>
  <si>
    <t>Lets ask Congress to approve billions of dollars of budget to fund War in Ukraine.. instead of investing in green energy.. &lt;br&gt;Freedom &amp;gt; Climate</t>
  </si>
  <si>
    <t>This is poor quality video.</t>
  </si>
  <si>
    <t>If you asked me, I would tell you that war is a waste of energy and resources  both human and natural as well.</t>
  </si>
  <si>
    <t>Disagree that we need to build more, we need to build different. We need more solar panels, more wind turbines and more public transport. But if all that is done we need less cars. If public transportation was better, I wouldn&amp;#39;t own a car!&lt;br&gt;If we aren&amp;#39;t building cars we don&amp;#39;t really need more lithium as local storage can be achieved with cheaper, simpler metals/minerals.</t>
  </si>
  <si>
    <t>Quality assurance that I have a great day❤_xD83C__xDF89__xD83D__xDE0A_❤_xD83C__xDF89__xD83D__xDE0A_❤_xD83C__xDF89__xD83D__xDE0A_gifi_xD83D__xDE0A_</t>
  </si>
  <si>
    <t>❤_xD83C__xDF89__xD83D__xDE0A_ Red, Blue❤_xD83C__xDF89__xD83D__xDE0A_green❤_xD83C__xDF89__xD83D__xDE0A_ Black❤_xD83C__xDF89__xD83D__xDE0A_white❤_xD83C__xDF89__xD83D__xDE0A_yallow❤_xD83C__xDF89__xD83D__xDE0A_</t>
  </si>
  <si>
    <t>Great strides being made, and more remains to be done. I hoped to see something about the promising breakthroughs of nuclear fusion which if made economically viable at large scale can sound the death knell for fossil fuels use in electricity production in the West.</t>
  </si>
  <si>
    <t>“Somebody asked me ‘what does a wind generator sound like?’ and I said ‘It sounds like money to me.’” &lt;br&gt;&lt;br&gt;- in the most Texas voice possible _xD83D__xDE02_</t>
  </si>
  <si>
    <t>EVs and their usage only makes sense if their batteries _xD83E__xDEAB_ are sustainably sourced (they are clearly not at the moment) and if the recharging of their batteries doesn’t depend on burning of fossil fuels (coal powered power plants, natural gas plants, etc.). Why is the no talks of harnessing the power of water?</t>
  </si>
  <si>
    <t>The institution of power as such should be reformatted and scientists, not politicians, should be at the head of states. A consortium of scientists and engineers, if you like. The current relations between countries are long outdated, instead of wars, economic and military alliances there should be joint solutions in the field of energy, climate and green resources.</t>
  </si>
  <si>
    <t>Have you noticed how its just Germany? Because they are the most disconnected from the struggles of real life and uneducated about how economy actually works.</t>
  </si>
  <si>
    <t>Oof. Sorry but i had to stop watching half way. Talking about the North Sea and Hull. Plants take a few years to develope before they start producing. The North Sea is being used for larger windparks for 15 years. Big parks take years to plan, build and operate. This has nothing to do with the war in Russia.&lt;br&gt;Also, the protestors in the first part are demonstrating against nuclear power. They are responsible for the political pressure to close the nuclear plants which led to the bigger coal consumption.</t>
  </si>
  <si>
    <t>Unless we figure out how to do more with less, we won’t solve this issue</t>
  </si>
  <si>
    <t>Same as any other information on this subject. I hear lots of thoughts on the subject but very little hard data. Is green tech better when you factor in the mining required?  Show your math. How about carbon sequestration. How much CO2 can a tree trap?  What’s the math on that. I’m not against green tech. I’m all for it. I just know if you really want to move the needle prove the math.</t>
  </si>
  <si>
    <t>Are you ready to play higher taxes on products, then only it makes sense to protest.</t>
  </si>
  <si>
    <t>We must go GREEN.  IT IS NOT THAT HARD AND FAR LESS COSTLY.  WAKE UP AMERICA. GO GREEN. OUR PLANET IS ANGRY, OUR ATMOSPHERE IS FAR MORE ANGRY WITH US.  DO YOU  WANT YOUR CHILDREN AND GRANDCHILDREN TO BREATHE?  GO GREEN.  VOTE BLUE!!!</t>
  </si>
  <si>
    <t>Its going very hard</t>
  </si>
  <si>
    <t>Superb</t>
  </si>
  <si>
    <t>It took over 100 years to develop the infrastructure to produce and supply cheap energy using fossil fuels. We are not going to be able to replace all of the power plants, electrical grids, and combustion engines across the world by 2050. It’s time for scientists to also start researching resiliency measures to prepare for the effects of climate change.</t>
  </si>
  <si>
    <t>X&lt;br&gt;Charlotte from the Economist you didn&amp;#39;t answer the question in the title..&amp;#39;How green is this energy transition &amp;#39;&lt;br&gt;?&amp;#39;&lt;br&gt;You gave the impression that if we hurry up building heaps of &amp;#39;green machines&amp;#39; we can stop the earth warming. &lt;br&gt;I don&amp;#39;t get that.&lt;br&gt;Is there any science involved, or is it just an idea?&lt;br&gt;Where&amp;#39;s the metrics around this?&lt;br&gt;Why didn’t you interview one of those protesting activists, whose clothes and transport and electronics are all fossil fuel dependant, how they feel about ripping down farmland,  forests and wilderness to pursue this &amp;#39;green&amp;#39; dream?&lt;br&gt;This was pretty shallow and lite journalism. &lt;br&gt;Nice voice   but lacking science and substance</t>
  </si>
  <si>
    <t>Great keep us updated on the latest development. Highly appreciated your efforts.</t>
  </si>
  <si>
    <t>Russia and the OPEC cartel shot themselves in the foot with the squeeze on fossil fuel supplies and prices, not only accelerating the global adoption of green energy but also U.S. energy independence.</t>
  </si>
  <si>
    <t>I am amazed that there wasn&amp;#39;t more focus on large energy storage. If the grid is based mostly on fluctuating sources, storage is a must</t>
  </si>
  <si>
    <t>First error of the video is that there is no such thing as clean energy. There is only some sources that exploration leaves less polution compared to others.</t>
  </si>
  <si>
    <t>We’re doom</t>
  </si>
  <si>
    <t>&lt;a href="https://www.youtube.com/watch?v=E39neWnw9AA&amp;amp;t=00m06s"&gt;00:06&lt;/a&gt; Climate activists are frustrated by the slow pace of change towards clean energy.&lt;br&gt;&lt;a href="https://www.youtube.com/watch?v=E39neWnw9AA&amp;amp;t=03m32s"&gt;03:32&lt;/a&gt; Europe turned back to fossil fuels to keep the lights on after Russia&amp;#39;s invasion of Ukraine&lt;br&gt;&lt;a href="https://www.youtube.com/watch?v=E39neWnw9AA&amp;amp;t=06m10s"&gt;06:10&lt;/a&gt; Global investment in clean energy is surpassing investment in fossil fuels.&lt;br&gt;&lt;a href="https://www.youtube.com/watch?v=E39neWnw9AA&amp;amp;t=08m40s"&gt;08:40&lt;/a&gt; The energy revolution requires easing bottlenecks in bureaucracy and infrastructure.&lt;br&gt;&lt;a href="https://www.youtube.com/watch?v=E39neWnw9AA&amp;amp;t=11m04s"&gt;11:04&lt;/a&gt; Interconnections and nuclear power are key to the energy revolution.&lt;br&gt;&lt;a href="https://www.youtube.com/watch?v=E39neWnw9AA&amp;amp;t=13m27s"&gt;13:27&lt;/a&gt; Nuclear energy faces challenges with high costs and long build times&lt;br&gt;&lt;a href="https://www.youtube.com/watch?v=E39neWnw9AA&amp;amp;t=15m47s"&gt;15:47&lt;/a&gt; Sales of EVs have been turbocharged by the benefits they offer in fuel costs and convenience.&lt;br&gt;&lt;a href="https://www.youtube.com/watch?v=E39neWnw9AA&amp;amp;t=18m06s"&gt;18:06&lt;/a&gt; The world&amp;#39;s transition to clean energy could stall without crucial minerals.&lt;br&gt;&lt;br&gt;You Can&amp;#39;t Judge A Video By Its Cover. you can by its first few chapters and certainly by its last.</t>
  </si>
  <si>
    <t>DO YOU REALY NEED A CAAR DRIVER?</t>
  </si>
  <si>
    <t>I LOVE YOU MAA.</t>
  </si>
  <si>
    <t>Shame on you that not mentioning TESLA which started the whole green energy EV transition and leading it also. Showing instead of few scrappy cars built for 6 months for millioners...</t>
  </si>
  <si>
    <t>I feel like when &amp;quot;activists&amp;quot; attack works of art, that must be a false flag operation by some fossil fuel lobbying group, because it only makes people dislike them and whatever cause they might have.</t>
  </si>
  <si>
    <t>It&amp;#39;s fake.  It&amp;#39;s regular fossil fuel consumption + renewable.  then the renewable has greater maintenance and operating energy requirements.  like the tesla factory for example is super giant facility in order to have enough solar panels to power it.  but then you&amp;#39;re going to need helicopters to maintain and clean it.  it&amp;#39;s a roll of dollar bills with a $100 on top.  then the houses and everything are bigger and people want more and are greedier.  no reduced energy demand.  it&amp;#39;s like seeing people claim that their on a diet and they&amp;#39;re 100 pounds heavier than when they started.  Everything is a fraud and then if you call people out on it they get mad &amp;quot;you&amp;#39;re mean.  stop being so critical.&amp;quot;  that&amp;#39;s what you are remember.  you&amp;#39;re the one&amp;#39;s accusing other people like the amish of destroying the environment because of donkey farts.  I&amp;#39;m surrounded by thieves.</t>
  </si>
  <si>
    <t>would have been great if the video actually addressed the question in the title, which it doesn’t. There is a hint of it in final pronouncement, that environmentalists need to adjust expectations, because the energy revolution relies on vast extraction of raw earth minerals, and large tracts of land (not to speak of many questionable mobilisations of labour, doing what capitalism does best - exploitation of low-paid workers). &lt;br&gt;&lt;br&gt;So, it really is a yes and no to the energy revolution - which is, let’s be clear, green capitalism, proclaiming that it is saving us from last major stage of capitalism (petro-capitalism). The motive is still money, and it is a transitional stage, which is causing lots of new problems, and bypassing one of the core issues -  overconsumption, because that is predicated on the greed at level of consumers and shareholders/investors/bankers, and requires a shift in attitude, rather than more of the same, just with solar panels and wind turbines (etc). &lt;br&gt;&lt;br&gt;We’ll see in 20 years where green capitalism (starting from c.2000 onwards) got the world to, and where we are then. Hopefully the technologies and materials we are employing then, are more holistically green and genuinely sustainable with the natural environment. We’ll see.</t>
  </si>
  <si>
    <t>You don&amp;#39;t need to build stuff if you focus on DEGROWTH</t>
  </si>
  <si>
    <t>Natural gas and oil are not &amp;quot;FOSSIL FUELS&amp;quot;.   The late British scientist, Professor Thomas Gold, explained in his book, &amp;quot;Deep Hot Biosphere&amp;quot;, that both fuels are produced constantly in Planet Earth&amp;#39;s deep hot natural chemo/thermal reactors.</t>
  </si>
  <si>
    <t>DIGITAL ENERGY SERVICES  as well as extensive services up to and including operation and maintenance services for PV power plants round off the SMART CONNECTED RANGE.</t>
  </si>
  <si>
    <t>It is time to revisit the Messmer plan. We have lights in Europe today not because of Olaf Scholz but France…</t>
  </si>
  <si>
    <t>Irony the EU and US needs the most oil for keeping their house warm. Fake people. Their kids burn fuel in cars for no reason keep your fake agenda with you.</t>
  </si>
  <si>
    <t>Green mega business scam</t>
  </si>
  <si>
    <t>FIRST and foremost, the thousand-plus elites from around the world who attend these phony &amp;quot;climate crisis meetings&amp;quot; can be thanked for adding their HUGE carbon footprints to the pollution of the planet. Their private jet emissions emit as much CO2 into the atmosphere as 350,000 vehicles running on gas and these people fly a LOT! Young climate activists are the most uneducated, uninformed group on the facts about &amp;quot;climate change&amp;quot; and the &amp;quot;climate crisis&amp;quot;. They just jump on a bandwagon without doing any research into ALL information from ALL scientists on this subject. The Earth is billions of years old and has never and will not just die suddenly because of a two-degree temperature change. We are most at risk of obliteration from the overdue pole shift, which will be catastrophic, or from a meteor strike. The WEF and elite, self-appointed, super-rich climate &amp;quot;tsars,&amp;quot; John Kerry, Al Gore, Klaus Schwab, who fly their private jets around the world, stay at luxury hotels, eat the foods they tell us we must give up (such as beef!) to meet and decide what WE as Americans MUST give up to save the planet while THEY are not giving up anything, not changing THEIR lifestyles in any way. They use climate as a fearmongering tool to gain more control over our lives, to rebuild the US and the world into their Hitleresque vision of a one-world government run by the elites. Please wake up people and see the bigger picture here.</t>
  </si>
  <si>
    <t>This administration and government in general are pushing green energy while not even thinking of the basics in the creation of alternate energy sources. 1) &amp;quot;The 5.2 megawatt solar farm in Scottsbluff, Nebraska was turned into rubble from a high-speed hailstorm. So, power generated from politically incorrect fossil fuels will need to fill in the gap. The solar farm lasted only 4 years instead of its advertised life expectancy of 25 years,&amp;quot; per The Institute for Energy Research (these broken panels have left toxic debris behind, so how will that be dealt with?),  2) Few people are buying EVs due to their being useful only under certain circumstances, their huge expense both in the purchase and when the HUGE battery can no longer charge (how about $14,000 for a new car battery?!,  3) Wind turbines they have installed on the east coast have killed countless whales and negatively impacted marine life (what are the future consequences of that??), 4) the US electric grid is not capable of handling the rush to all-electric everything this admin is pushing, nor has this administration done anything in the way of infrastructure to make it more capable. This leaves the US extremely vulnerable in every way. And btw, the electric grip depends on fossil fuels!!</t>
  </si>
  <si>
    <t>Energy transition in emerging markets is the key to achieving anything positive on the climate goals.</t>
  </si>
  <si>
    <t>I very much believe all these innovations in solar, wind and possibly nuclear energy technology will fast track the global aim for net zero carbon emission. However I am very concerned about our over-dependence on fossil products like synthetic polymers. What will the plan to shift from that be? If we want to be truly green then we must look at it from all angles.&lt;br&gt;&lt;br&gt;It would have been more effective for the activist to use vehicles not powered by fossil energy than using buses powered by them. A simple sign that you stand by it.</t>
  </si>
  <si>
    <t>Successful &amp;quot;Pervende Motor&amp;quot; will be the best._xD83D__xDE02_</t>
  </si>
  <si>
    <t>Sounds great.&lt;br&gt;&lt;br&gt;Run it by Doomberg.&lt;br&gt;&lt;br&gt;If he likes it, I&amp;#39;m with you.</t>
  </si>
  <si>
    <t>My suggestion is stop calling it nuclear energy. What you are suggesting is a different technology, so it needs a new name that people dont have preconceived ideas about.</t>
  </si>
  <si>
    <t>Random thought here but I think AI might significantly increase the demand for reliable, scalable, and affordable electricity. This will ratchet up the pressure on gov&amp;#39;ts to stop kneecapping nuclear energy relatively soon.</t>
  </si>
  <si>
    <t>Three suggestions:  1.  “The enemy of my enemy is my friend!”.  Instead of trying to cut out the oil and gas industry, get their buying into this technology.   The more they are involved in developing this technology and profiting from becoming a big investor in it.  As that one segment about Friends of Earth section said, remind them that the world is going to change, and by embracing it they are guaranteeing their survival via next-generation MSR.  In addition, with their lobbying support, you will get Congressional action.  2.  Defense contractors realized long ago the value of dividing work up on a project all over the place to make it difficult to stop.  When the Carter Administration attempted to kill the B-1A bomber project,  Rockwell International at the time rallied up all the subcontractors across the county to lobby Congress to continue production.  I would make sure that production facilities be put up across the US, and discuss how many jobs it will create to develop and construct these facilities.  This will lead to additional constituencies that will promote this technology and eventually get more Congressional support.  3.  Get more colleges and universities to obtain grants and funding for developing this technology.  Again, the key is to develop more constituencies that will promote and lobby for development of MSRs.</t>
  </si>
  <si>
    <t>Other US capabilities could help</t>
  </si>
  <si>
    <t>[mark 4m27s] &amp;quot;In reality, technology is just what puts energy to work in order to make life better. Energy itself is the vital ingredient.&amp;quot; Never really thought about it like that... Thank you, sir! And I solicited my government representatives to advance nuclear energy research and production as the primary form of power production in my state of residence, thanks to your letter with Mike Green of late. Keep-up the good work!</t>
  </si>
  <si>
    <t>1) Erik, you failed to mention the Candu reactors, the success of Western countries like France that successfully transitioned to 75% nuclear powered etc. in 1980s. &lt;br&gt;&lt;br&gt;2)Understand you wanted this to be US centric &amp;amp; highlight the critical 1974 break point but it doesn&amp;#39;t really add up as a singular cause to the standard of living crisis of today tht you repeatedly highlight multiple times. We all know it&amp;#39;s a political problem not an energy problem - stupid to twist it. &lt;br&gt;&lt;br&gt;3) You bring China&amp;#39;s nuclear pivot story towards the end making it West vs China while you kept on projecting as if this is a global issue &amp;amp; no one is taking the nuclear route beckoning Why not? &lt;br&gt;If USA shut it by 1974 why not Russia or China or Germany or Japan or India take it up? Not enough info in your video to address this question. Please add supplements or another follow-up answering these Qs. &lt;br&gt;&lt;br&gt;Thanks for an overall good video.</t>
  </si>
  <si>
    <t>You just need Elon Musk on board.</t>
  </si>
  <si>
    <t>Great video!</t>
  </si>
  <si>
    <t>About time someone said it! Thank you, Erik Townsend!</t>
  </si>
  <si>
    <t>Great video, you might be interest to know that Vivek Ramaswamy, has promised to shutdown the Nuclear Regulatory Commission  &lt;a href="https://www.youtube.com/watch?v=htoNuyYjNwg"&gt;https://www.youtube.com/watch?v=htoNuyYjNwg&lt;/a&gt;</t>
  </si>
  <si>
    <t>Another great video. Erik, thanks for all the hard work you have put into this project!</t>
  </si>
  <si>
    <t>What is your reference that Nixon ordered the SMR research to be destroyed? I couldn&amp;#39;t find</t>
  </si>
  <si>
    <t>In my area a old pipe line was cut and since nothing seemed to be coming out they simply burried the cut pipe next to the house they were building.  Of course a house with the family in it blewup killing the family.  Developers are still resisting regulations restriting building on top of old oil fields.</t>
  </si>
  <si>
    <t>The Democrats are much stronger nuclear power supports than Republicans.  The Republicans are mostly fossil fuels supporters.</t>
  </si>
  <si>
    <t>Great, spent money you don&amp;#39;t have in a power source which is (and won&amp;#39;t be) ever profitable (nuclear). Nuclear had no future in 2001 when represented 20% of the electricity commercially available and won&amp;#39;t have better fate now that is less than 10%. Also, smr aren&amp;#39;t anything new: is the base of every warship propelled by nuclear. And they work because the military doesn&amp;#39;t have to be profitable.</t>
  </si>
  <si>
    <t>If you really wanted compact turbine generator use supercritical Xenon instead of supercritical CO2.&lt;br&gt;&lt;br&gt;Supercritical CO2.  Temp is 31c or 304.1K, density is 467kg/m3, pressure required  7.38Mpa or 73.8 atmospheres.&lt;br&gt;Supercritical Xenon. Temp is 16.6c or 289.7K, density is 1100kg/m3,  pressure required 5.84MPa or 57.64 atmospheres.&lt;br&gt;&lt;br&gt;Xenon would be more expensive initially because it is not as easy to acquire.   If it leaked it is inert so would not be an environmental hazard.  &lt;br&gt;&lt;br&gt;Another possibility would be SF6 but it is a powerful greenhouse gas.  It has a density of 730kg/m3.</t>
  </si>
  <si>
    <t>NuScale experience proved that SMR&amp;#39;s are not financially viable.  QED.</t>
  </si>
  <si>
    <t>China already has a Thorium molten salt SMR functioning.  USA does not (Oak Ridge experiment of 1952 was closed down long ago).  Conclusion:  USA is a technological backwater.</t>
  </si>
  <si>
    <t>Google &amp;quot;TMSR-LF1&amp;quot;</t>
  </si>
  <si>
    <t>Cmon man!  Hey Jack!!  If you don’t vote democrat you ain’t black!  I’m not kidding!  I really mean it!!</t>
  </si>
  <si>
    <t>Trust the system!  Washington and the spy agencies LOVE YOU!!!</t>
  </si>
  <si>
    <t>The small thorium reactor was intended to power US bombers. It was not stopped by the US gas and oil industry but by the need for plutonium for hydrogen bombs which are not produced by this process but by using uranium. That is also why civilian reactors use uranium with now the plutonium from dismantled nuclear weapons being used as part of the fuel cycle i8n modern units. These facts are easily verified</t>
  </si>
  <si>
    <t>Rely on Renewable Energy is Absolutely Yes! The other source of energy.</t>
  </si>
  <si>
    <t>Renewables are Better with Green Hydrogen.</t>
  </si>
  <si>
    <t>Nuclear is not renewable and would only require another energy transition a few decades later, so better to transition right the first time. &lt;br&gt;&lt;br&gt;Sun and wind are of free and if the US would adopt your ideas, it would have to compete with countries that transition to renewables which is fundamentally cheaper then nuclear is ever going to be. Solar, wind and batteries is all we need.&lt;br&gt;PV, Wind and batteries are cheaper then nuclear today and cost trends are steeply down.&lt;br&gt;&lt;br&gt;Reference: RethinkX (Tony Seba).</t>
  </si>
  <si>
    <t>The US government has a variety of forces influencing policy in the area of nuclear power. Your video makes it sound like the NRC exists in a void and gets all its ideas from the fossil fuels industry. I am an environmentally minded 60 year old from California. I agree that the energy transition is a huge issue. I disagree that the energy transition is more important than climate change. But i will leave that aside for now: the energy transition is a part of the solution to climate change--and the fact is, we will eventually need to transition away from fossil fuels anyway (climate change or no) given that it is a finite resource and thus won&amp;#39;t last forever anyway. I am most of all concerned about climate change (and the necessity to cut CO2 emissions to zero). I see the threat of a warming overall climate as an existential question: the existence of human civilization is at stake. I also do not see renewables as the short term answer to this crisis: i have been convinced for years that we must go all in on modern nuclear tech--this modular approach you describe here. Alot of my compatriots in the &amp;quot;cut emissions to zero at all costs&amp;quot; set are terrified of nuclear power. As someone who both thinks climate change is a five alarm fire issue AND thinks that a wholesale switch to nuclear power may be our only workable path to zero emissions, i am the rarest of birds. Regarding nuclear energy, US politics tends to be divided between two large camps: Republicans who want us to stay hooked on hydrocarbons (and thus fail to see any necessity for nuclear), and Democrats who are more scared of nuclear power than they are of climate disruption. This is a one-two punch coming from a large swath of the electorate aimed straight at the part of our government that does (in its own, methodical, glacially slow way) try to respond to the voices of the people. The combined impact of these two basic camps in the electorate (&amp;quot;pro fossil fuels&amp;quot; on the Red side and &amp;quot;anything but nuclear&amp;quot; on the Blue side) helps keep the government (and governments at all levels) pretty myopic about nuclear power. I agree with alot of your assessment in this regard, except i would say that the government is less likely to change course when a healthy percentage of the population is actively against such a course correction. The US government&amp;#39;s policy toward nuclear energy now is a result of those two basic views of the subject being the dominant points of view for at least 50 years. The Biden Administration is characterized like a villain in this video, and though i don&amp;#39;t necessarily disagree with your points, i must say that Republican administration&amp;#39;s policies toward nuclear energy have not been any different. If the electorate could be convinced of the necessity of nuclear energy, the government would eventually follow. Your video seems very aimed at business types: a very large portion of the population is concerned about climate change (and some of us are terrified). You need to guage your arguments toward convincing all of THOSE people, all of my friends. They look at me like I&amp;#39;ve grown a second head when i say nuclear energy is the only answer, but they don&amp;#39;t seem moved by the concomitant argument that the area around Chernobyl has become a nature preserve. Try to think like the (centrist) liberals that you probably despise--or like an environmentalist leftist (which most Democratic voters are NOT leftists, even if you think they are. Trust me on this. That doesn&amp;#39;t mean they are Right wingers, just not leftists...). Try to think like environmentally minded everyday folks who aren&amp;#39;t businessmen. Try to frame your arguments in a way that will get through to people like me.</t>
  </si>
  <si>
    <t>This is the ideal net zero electric sector energy mix &lt;br&gt;&lt;br&gt;1. Non-intermittent renewables are used wherever they are available &lt;br&gt;&lt;br&gt;2. Closed fuel cycle nuclear is used wherever non-intermittent renewables are not available &lt;br&gt;&lt;br&gt;PV solar and wind have no value in any modern energy system because they use excessive amounts of land. The excessive land usage of intermittent renewables will inevitably cause indirect land use change CO2 emissions. Indirect land use change CO2 emissions will increase the amount of CO2 in the atmosphere just like combusting fossil fuels.</t>
  </si>
  <si>
    <t>I find that alot of tech things that have been introduced in the retail world like cash cards and automatic checkouts or fast food outlets or gambling for instance absolutely&lt;br&gt;Annoying and irritating just for a more inefficient way of shopping or doing ones basic functions whether doing the washing or buying the correct fitting clothes (best of luck there) well everyday experiences &lt;a href="https://www.youtube.com/watch?v=yBF2fGUO5cQ&amp;amp;t=8m52s"&gt;8:52&lt;/a&gt; &lt;br&gt;Are not all that enjoyable&lt;br&gt;Like the cost of just going to the pub</t>
  </si>
  <si>
    <t>fantastic and this needs to be seen in scale by western leaders</t>
  </si>
  <si>
    <t>At the start, support the statements, because from my view the FULL facts of your position, rings opinion not fact.</t>
  </si>
  <si>
    <t>Alvin Weinberg (the inventor  of the Molten salt reactors) idea was genius but we still haven’t fixed the molten salt damage on the pipes and they still (although it  is massively reduced) create nuclear waste. I think investing in renewables is a better idea.</t>
  </si>
  <si>
    <t>In the 60s-70s 100 reactors were built in the U.S., they averaged 36 months build time and were on schedule and on budget. Most are still running and some have extended operating approval for a total of 80 years projected. The same can be done today. If the U.S. had continued building the same reactors at the same pace by 1990 all the energy needs of the U.S. would have been met by nuclear. It&amp;#39;s hogwash that they aren&amp;#39;t safe. They&amp;#39;ve never killed a single person. The &amp;quot;high level&amp;quot; nuclear waste is in reality nuclear fuel for fast breeder reactors with 90% plus of its energy retained. The low level waste is about as dangerous as a granite deposit in Colorado, but much more safely monitored. Three Mile Island was a non-event. Fukushima was a weather event with no deaths or illnesses documented from radiation. Chernobyl is the only real nuclear &amp;quot;disaster&amp;quot;, for a Russian design that the West does not employ, there were 20 or so who went in to the hot reactor who died from it. There were 3 other reactors at the Chernobyl site, of the same design, that operated until the year 2000. Nuclear is the safest, cleanest, most energy dense, most economical form of energy in history. Japan recently built a new reactor in 39 months. America allows bespoke designs, an untrained workforce, over-regulation, and unnecessary 20 year builds to account for over 70% of the build cost to be finance charge on borrowed money. Mismanagement, period.</t>
  </si>
  <si>
    <t>I basically agree with you. This is where I don&amp;#39;t.&lt;br&gt;  Hydrogen is a non-starter, storage is a huge problem and all the technology is untested. But hydrocarbons can be made directly (Germany did it in WW2) and they can be made with the type of reactor you promote. No change would be required for transport systems, none.&lt;br&gt;  Your estimates for the required energy = 5 zetta joules, is an underestimate as it doesn&amp;#39;t allow for the inefficiencies of converting energy to a transportable, storable form- hydrogen or otherwise. My guess is that you need to go to 8Zj. &lt;br&gt;  2050 is a real stretch. Having said that if a known target is stated, the funding is put in place and you let slip the engineers- history teaches us that these guys can bring home the bacon a la Manhattan Project or Moon Shot.&lt;br&gt;  CO2 is my only worry. We need more, not less in the atmosphere. But you could break up limestone with power to release bucket loads which would make the farmers and the environment very happy.&lt;br&gt;  No mention is made in your video of the massive upgrade to the grid that would be required to electrify everything we can- perhaps you didn&amp;#39;t have time.&lt;br&gt;  My response is 4 days late because I magically became &amp;#39;unsubscribed&amp;#39; through no fault of my own. I apologise.</t>
  </si>
  <si>
    <t>This sounds exactly right to me. You should consider linking up with the Schiller Institute.</t>
  </si>
  <si>
    <t>A huge amount of electrical production is now coming from renewables.  The uptake is accelerating as the prices drop.  It is now more expensive to buy the coal for a plant than it is just to scrap it and build a solar installation.  Fossil fuels can no longer compete and it&amp;#39;s not a moment too soon.  If the molten salt reactors can ever be produced at a competitive price they will make a great base load resource.  At the moment the only one slated to be built in the US was just scrapped because it&amp;#39;s too expensive and can&amp;#39;t compete with renewables.   It will be interesting to see if they ever get anywhere.  I doubt it because the cost of electricity from renewables will continue to fall and nothing else will be able to compete.</t>
  </si>
  <si>
    <t>The US has slightly less than 100 NPPs - nuclear power plants.  It has been speculated that we would need another 400 NPPs to end burning of FFs.  At ten billion per full-size NPP, which is less than what they&amp;#39;re being built for, that alone would be 4 trillion dollars!  I call BS on his claim that we could do it for cheaper.&lt;br&gt;&lt;br&gt;Thermal power plants including nuclear consume huge amounts of water for cooling.  There is not enough water to add so many more thermal power plants.</t>
  </si>
  <si>
    <t>It isn&amp;#39;t about doing it right it&amp;#39;s about power, control and money.</t>
  </si>
  <si>
    <t>What about the limited amount of nuclear fuel? It’s only like 90 years left of fuel at current consumption rates</t>
  </si>
  <si>
    <t>What a (dumb) question ! “Nuclear” 95% efficient - vs 20-30% for renewables - with an energy density at least 200 times better than renewables and roughly 10 times cheaper in production costs ….. plus very much greener than renewables !  A y other questions ?</t>
  </si>
  <si>
    <t>Great to stumble into your vid. We are DEFINITELY on the same page. Shared on X/Twitter. I&amp;#39;m an old nuke sub sailor/IT professional. Been living off grid (26+ years) w/ solar/wind BECAUSE I&amp;#39;m prevented from installing an SMR (Thorium fuel cycle ?) in the back yard.</t>
  </si>
  <si>
    <t>Nuclear is great! Let’s build nuclear and renewables.</t>
  </si>
  <si>
    <t>Boiling water to dry steam to gain a watt on_the_wire emits 2-joules of wasteheat/watt times 1.7-aggi for greenhousing = 3.4× output by any steam powered wattage.&lt;br&gt;&lt;br&gt;A 1-Mw genset/container 50yr no-inputs warranty w/ upkeep no CO2 H2O or wasteheat/Mwh superconducts coils.&lt;br&gt;&lt;br&gt;Est.cost $1.6M/unit amortized = $3.65/Mwh+(upkeep &amp;amp; int)/mo&lt;br&gt;&lt;br&gt;Power villages farms lt.industry no miles of wires.&lt;br&gt;&lt;br&gt;Flip substations offgrid from a  parkinglot. &lt;br&gt;&lt;br&gt;Technokontrol&amp;#39;s RF-5000.</t>
  </si>
  <si>
    <t>Bullsh!t propaganda from big business trying to stampede sheeple to support government subsidizing nuclear expansion - purchase of white elephant sinkholes of tens of billions of dollars. &lt;br&gt;&lt;br&gt;This video says &amp;quot;a quarter of a century&amp;#39;s&amp;quot; worth of renewables investments has done nothing to shrink use of fossil fuels. &lt;br&gt;&lt;br&gt;Here&amp;#39;s the truth: renewables investments have scaled as fast as could practicably be done world-wide. The constraint wasn&amp;#39;t money: governments certainly subsidized, especially 2000-2018, seeking to scale production &amp;amp; R&amp;amp;D in renewables to drive down the cost. THAT WORKED! &lt;br&gt;&lt;br&gt;For example, &amp;quot;In the EU, renewables are nearing 40% of total electricity generation. Solar was one of the biggest drivers of this increase, with a record growth of 38 terawatt-hours (TWh) compared with 2021. That growth was due to a high installation rate; 41GW of solar power generation capacity was added to the grid in 2022.Jan 31, 2023 [&lt;a href="https://www.energymonitor.ai/tech/renewables/europe-renewables-in-2022-in-five-charts-and-what-to-expect-in-2023]"&gt;https://www.energymonitor.ai/tech/renewables/europe-renewables-in-2022-in-five-charts-and-what-to-expect-in-2023]&lt;/a&gt;&lt;br&gt;&lt;br&gt;The levelized cost of generation from Renewables is now MUCH LOWER than any other means: lower than oil, gas or coal, LOWER THAN NUCLEAR! And not just a little: current commercial contracts to build wind or solar capacity are priced at &amp;lt;4.5 cents per kilowatt-hour. Nuclear tenders to build reactors are 16 cents per kilowatt-hour! - almost four times more expensive than renewables. Add the cost of grid-scale utility battery farms to store renewables power - which makes Renewables BASE LOAD - and you&amp;#39;re still WAY less expensive generating power this way than nuclear.&lt;br&gt;&lt;br&gt;Building renewables is FAST. You can commission, license &amp;amp; build a massive wind or solar farm AS BIG AS ANY NUCLEAR PLANT &amp;amp; have it completed within 6 years. Really large renewables installations routinely produce more power than major nuclear plants, which cost an order of magnitude more to construct, take decades to get built, ALWAYS come in late - by many years (avg. 10-15) &amp;amp; WAY over budget (avg. 2x budget - but can be WAY more). UK&amp;#39;s Dogger Bank Wind Farm (227 turbines) launched 2020, will be completed 2026. Already producing power, it&amp;#39;ll generate 3.6 GW &amp;amp; cost 9 billion pounds. Ontario&amp;#39;s Pickering Nuclear Generating Station was launched 1965, completed 1986 WAY over budgeted time, cost $3.86 billion CDN in 1986 dollars - roughly $14 billion 2023 dollars, &amp;amp; it has a nameplate capacity (theoretical maximum) of 3.1 GW - but has NEVER delivered that (actual generation has varied but maxes out at 2.3 GW - 2 of 8 reactors are non-functional. &lt;br&gt;&lt;br&gt;Cost of nuclear is NEVER predicated on total cost of operation. When planning renewables, firms MUST by law include cost of eventual decommissioning &amp;amp; return of site to greenfield. Allocations are made from day one to pay for this. And firms must carry insurance to assure the public is protected in event of catastrophic failure. When planning nuclear, governments have given firms exemption: there&amp;#39;s little or no allocation made for decommissioning &amp;amp; return of site to greenfield. No significant allocations are made for insurance: again, liability is waived by government &amp;amp; the assumption is that government will pay for disaster mitigation &amp;amp; recovery and any public liability in the event of a disaster. &lt;br&gt;&lt;br&gt;Disasters HAVE HAPPENED, DO OCCUR. Chernobyl has rendered an area near the size of Cornwall uninhabitable &amp;amp; off limits to human habitation, travel, use in any way - for a thousand years. It will never be fully decommissioned; the cost of protecting the site (a massive concrete sarcophagus) nearly bankrupted Ukraine &amp;amp; will need to be done again within a decade - the sarcophagus is failing. Three Mile Island bankrupted the operating utility; the site will never be decommissioned (the attempt bankrupted repeat owners) &amp;amp; must be maintained, fenced &amp;amp; protected in perpetuity. Fukushima has rendered a sizeable area surrounding it uninhabitable for hundreds, perhaps a thousand years. Japan doesn&amp;#39;t expect to ever fully decommission the plant but will continue to pay for it in perpetuity. If a Fukushima-scale accident happened at the Pickering Nuclear Station, &amp;quot;more than 650,000 people could lose their homes and have to be evacuated for 30-100 years. Tens of thousands of GTA residents could develop cancers.&amp;quot; [&lt;a href="https://www.cleanairalliance.org/old-and-unsafe]"&gt;https://www.cleanairalliance.org/old-and-unsafe]&lt;/a&gt;. If a Fukushima-scale accident happened at the Pickering Nuclear Station, more than 650,000 people could lose their homes and have to be evacuated for 30-100 years. Tens of thousands of GTA residents could develop cancers. But that doesn&amp;#39;t nearly cover it: it would render much of Toronto uninhabitable &amp;amp; eliminate the major east-west transportation connections (highways &amp;amp; rail) connecting Quebec with the US border at Detroit, and disrupting east-west connections within Ontario. Toronto is the largest city in Canada, the major entrepot &amp;amp; driver of Ontario&amp;#39;s economy &amp;amp; much of Canada&amp;#39;s. It is the third largest stock exchange in N America &amp;amp; second largest financial center. Taking out Toronto would be catastrophic for Canada. In Japan &amp;amp; Ukraine they had the good sense to build their reactors some distance removed from major urban centers. Neither disaster eliminated critical transportation routes for which there are no alternatives. In Ontario the government saw fit to build within 30 miles of the largest city and adjacent to the highest-volume transportation infrastructure. And any disaster there would pollute the water supply for most of Ontario&amp;#39;s population - and Quebec&amp;#39;s: over half the population of Canada. So &amp;quot;tens of thousands of GTA residents could develop cancers&amp;quot; doesn&amp;#39;t begin to cover it.&lt;br&gt;&lt;br&gt;Safe nuclear is a lie. Failures ARE rare, but they DO OCCUR. And they&amp;#39;re CATASTROPHIC. &lt;br&gt;&lt;br&gt;Decommissioning will be a disaster. No government or utility is currently allocating funds sufficient to cover decommissioning for ANY nuclear facility. No such facility has been thoroughly decommissioned to date. No one knows what it will cost, but it&amp;#39;ll be a multiple of the (massive) cost of construction. So far, every government involved has permitted utilities to close, &amp;quot;maintain&amp;quot; - mothball - &amp;amp; protect the site in perpetuity, a horrific cost but less than that of decommissioning.&lt;br&gt;&lt;br&gt;And decommissioning requires at minimum a place to safely store &amp;amp; protect nuclear waste, in perpetuity. So far only Finland has done this, at horrific cost, and they aren&amp;#39;t about to store anyone else&amp;#39;s waste there. There is no nuclear repository yet anywhere else. Ontario intends to announce a site for a repository next year (2024). Its preferred site at present is a mine under Lake Huron. If there&amp;#39;s a breach &amp;amp; a leak, it&amp;#39;ll pollute beyond recovery the Great Lakes - water supply for 1/3 of N America&amp;#39;s population. There was an attempt to construct a safe repository (for trash from Toronto) in Kirkland Lake using this approach (repurposing an abandoned mine) but it failed: leaks into the groundwater were detected within months hundreds of miles away (Chalk River). IF the mine under Lake Huron leaks we&amp;#39;d likely not know for considerable time and it could never be rectified. Out of site is out of mind, so no worries: Ontario&amp;#39;s Conservative government isn&amp;#39;t worried. It IS worried about decommissioning: this fear is likely what&amp;#39;s driving a bid to build small nuclear reactors on the site, to keep the site operational &amp;amp; justify simply mothballing the older reactors as they go out of service. That&amp;#39;s not solving the problem: it just pushes it of for the next government (someone else&amp;#39;s problem).</t>
  </si>
  <si>
    <t>Poland seems to be leading the way with SMR’s</t>
  </si>
  <si>
    <t>you will burn in heck friend</t>
  </si>
  <si>
    <t>So you are saying that we can reduce the cost of nuclear reactors by a factor or 10 to 20 by making them smaller? And you call this &amp;#39;economy of scale&amp;#39;? I suppose you are aware that economy of scale usually goes the other way. If you make something bigger, the cost per unit goes down. One of the reasons for that is just geometry: Doubling something ( a pipe, a reactor, a tank or whatever)  in size increases the surface are by a factor of 4 but it increases the volume by a factor of 8. This is a pipe dream.</t>
  </si>
  <si>
    <t>Great video! What are the best ways to go  long SMRs and Thorium?</t>
  </si>
  <si>
    <t>Molten salt and Thorium reactors have been known for 60 or 70 years; the issue is not government but a public, misinformed as to nuclear hazards.  However, nuclear is the only feasible alternative for a world increasingly hungry for energy, if it is to be CO2 free. Switch to fission now, and with research, we may have fusion in 50 years.</t>
  </si>
  <si>
    <t>SMR is a significant step addressing several nuclear safety and operational issues... BUT...&lt;br&gt;Unless and until the basic problem how to dispose nuclear waste and contaminated materials is solved, the real comparison isn&amp;#39;t nuclear vs fossil fuels but nuclear vs Green renewables. Green causes zero carbon emissions, is imminently safe and done properly doesn&amp;#39;t cause residual waste when decommissioned, replaced, upgraded or disposed. Nuclear on the other hand typically needs to be refueled every 26 years or so, decommissioning can take over a decade and of course nuclear waste typically is highly toxic to all living entities so requires special containment for at least 500 years but probably far beyond that.&lt;br&gt;&lt;br&gt;Those costs related to nuclear waste are generally not talked about. The modularity of SMRs could make it safter to refuel or remove waste safely but the question remains what to do with that waste and the costs involved. When that is considered, nuclear is no longer cheap and creates a burden possibly of generations of humans beyond imagination.</t>
  </si>
  <si>
    <t>Brilliant ! Thanks , will watch all parts and will share it as possible.</t>
  </si>
  <si>
    <t>The biggest Nuclear Reactor is in the Sky, and it’s free (to quote Elon Musk)</t>
  </si>
  <si>
    <t>As enticing as you make it sound, relying on someone else for you own energy needs is the root of the problem, get solar, get battery storage, electrify everything in your home and get an EV. This is how to free yourself from the greed of fossil fuel energy dependence.</t>
  </si>
  <si>
    <t>The energy transition can and is happening just not in the way the MSM thinks it will or how fast. The transition from fossil fuels to nuclear fission has already begun and will be complete in the next hundred years or so. The longer we fumble with so-called &amp;quot;renewables&amp;quot;, The longer the transition will take.</t>
  </si>
  <si>
    <t>The solution will not come from the US. Trump might work towards replacing the NRC but he has no chance of winning, we know this as a fact.</t>
  </si>
  <si>
    <t>I look to Indonesia and ThorCon power to make these innovations. China is on the verge of bankruptcy, and the ThonCon model in Indonesia is much better than LFTR. Even though they have thorium in their name, their &amp;lt;5% uranium-only reactor is a much better solution.  Terrestrial Energy has a very similar reactor but they are trying to get a joint Canadian/US license which means no one will be able to afford it.</t>
  </si>
  <si>
    <t>Now we&amp;#39;re getting confused with acronyms......SMR.....small nuclear reactor, not Steven Mark Ryan the Tesla youtube fanboy! Lol</t>
  </si>
  <si>
    <t>I agree entirely with the basic narrative, but the root cause analysis of why we&amp;#39;ve lost over fifty years of progress in nuclear research is seriously flawed and needlessly alienating to many you&amp;#39;ll need to move this ball. Post-WW2 geopolitics, not government corruption and malfeasance tipped the scale against Thorium in Nixon&amp;#39;s decision, and he didn&amp;#39;t act alone. MAD, Mutually Assured Destruction ruled the day during the Cold War, which we eventually won. &lt;br&gt;Plutonium for bombs was key in Nixon&amp;#39;s decision. It wasn&amp;#39;t obvious the Thorium cycle could produce the tens of thousands of thermonuclear warheads deemed absolutely necessary to pound soviet rubble convincingly as a nuclear war deterrent. And, yes, not unlike all other American national political figures, Nixon wanted any resulting jobs from the decision to flow to his home state, California.&lt;br&gt;SNR will work; The energy path we&amp;#39;re on won&amp;#39;t.</t>
  </si>
  <si>
    <t>China has pretty much solved the corrosion problem with their new LIFTR . Operating since 2022.  Also Copan Hagan Atomics Burner pretty much solves the waste problem.  I don&amp;#39;t agree with    with no reduction on life style. We (humanity) have to declare a war on CLIMATE and use common sense and data to go forward.  One fact about solar cells : It takes 100 times the energy to produce silicon versus steel.  Virtually All the Solar Cells are produced in China with coal .  Not clean or cost effective.  WE are all &amp;quot;Crew members on space ship Earth. Lets keep our mother flying!!!</t>
  </si>
  <si>
    <t>Great video! I fully support smr as I believe renewables aren&amp;#39;t going to be the solution.&lt;br&gt;Unfortunately the West doesn&amp;#39;t want people to prosper, they want us poor. That way we are easier to control.</t>
  </si>
  <si>
    <t>SMRs are already being built in China.   They have plans for the largest cargo ship to be powered by a Molten Salt Thorium reactor and have a running prototype MSR in the Gobi desert.   Moreover they already have, on their commercial grid, a 4th Generation High Temp. Gas Reactor using pebble bed technology.   The U.S. is playing catch-up now.    Futhermore they lead in Wind Turbine and Solar panel production.   While the U.S.  Debates things ad nauseam, China Builds things.  Less Talk and more Action!    Tell me which form of govt is more EFFICIENT???</t>
  </si>
  <si>
    <t>The 4.6 trillion has reduced the cost of energy production to 2 cent / kw what does a nuke kw cost?</t>
  </si>
  <si>
    <t>You say fossil fuel hasn’t been reduced , what you fail to acknowledge is that their use would be much larger than it is. On nukes when they finally perfect fission that is worth having, because it doesn’t produce the radioactive waste!</t>
  </si>
  <si>
    <t>So what are you going to do with the highly radioactive waste from 255000 reactors?&lt;br&gt;Solar energy is much cheaper and no radioactive waste!</t>
  </si>
  <si>
    <t>Your solar cost/kw is way outdated , the costs are much cheaper now and getting cheaper every month!</t>
  </si>
  <si>
    <t>Thank you for this good video explaining the potential of GenIV nuclear energy.  All of this will become a reality in the future for two reasons.  The first and most pressing reason is military competitiveness, which requires SMRs to achieve a range of military objectives.  The second reason is that China is already halfway there, has taken the lead and has left the West behind!</t>
  </si>
  <si>
    <t>government is nolonger 4 the people,only their own self interest. Government is over,it nolonger works and just peddles lies. If u had 10000 air molecules,4 would b co2. Of that 4 between 3 and 5% r man made. Of that UK is 1% we r being sold a guilt trip bunch of lying BS.</t>
  </si>
  <si>
    <t>RR making production line like model t fords of old to produce at scale. Why no news. Copenhagen above,why no news, nuscale in US why no news. They want the public in fear with their heads in the sand. China already well on the way,they will make thousands of SMRs. The RR design produces 470MW&lt;br&gt;so 29 will do the whole UK,they cost 3billion each and take 3 years to make. WHY R WE NOT DOING THIS???? cos gov dont want our lives easy and they want to perpetuate the carbon and climate lie. 66 million yrs ago the world was covered in dinosaurs and green all over. No cfcs then ,no carbon except from volcanoes and methane from dyno &lt;a href="http://farts.no/"&gt;farts.No&lt;/a&gt; humans then. A meteior ended that as it will in the future unless we make planetary defence,now that is worth an investment. Gov=liars! The world if left totally alone would b much hotter.</t>
  </si>
  <si>
    <t>I do some Macro to my HS Personal Finance class and this video is going on the list. Thanks!</t>
  </si>
  <si>
    <t>NuscalePower</t>
  </si>
  <si>
    <t>Much appreciating this video and thought put into it.  Thank-you Erik for the disclosures and proposing a different solution!</t>
  </si>
  <si>
    <t>A slightly different perspective here.. I work at the power company and am in a role that is responsible for the reliability of the grid where I live. First off, solars intermittency is an extreme pain for us to deal with from a reliability stand point day to day. Another issue is that so much solar was originally built where lots of land was available (far from load centers) before lines were upgraded for the increased generation. This in turn causes us to have to constantly curtail 100s of MWs of solar generation on sunny days. I love the idea for SMRs, but a couple of things that come to mind is the characteristics of the units. Base load was mentioned throughout the video. Thats not necessarily the type of generation we need. What are the start up times of these units? What are their ramp rates? Can they pulse on AGC (automatic generation control)? When they come offline, how long do they need to be off before they can come back online? How will they respond to faults on the system? As someone that deals with generation everyday, these are extremely important questions. The NRC also requires Nuc plants to have emergency equipment onsite for them to safely shut down in the event of a blackout. I am a strong proponent of SMRs and am optimistic about their future, but there are lots of questions I have and investments needed to the existing grid before they can be a viable large scale solution. Looking forward to how this plays out! Thanks for all of your research!</t>
  </si>
  <si>
    <t>Don t you mean 750 dollar per megawatt instead of kilowatt?&lt;br&gt;Love the video.&lt;br&gt; Pardon my English.</t>
  </si>
  <si>
    <t>Of the six proposed fourth-generation nuclear reactor types, the Molten Salt Reactor (MSR) is the only type that has high fuel efficiency, no danger of explosion, and does not generate substantial amounts of plutonium. The fissile uranium-233 produced by the MSR is difficult to use for weapons because of the presence of highly radioactive uranium-232. While other Small Modular Reactors (SMRs) can serve as a short-term solution, MSRs are considered a more promising mid-term solution due to their potential to address these issues more comprehensively. Hopefully, we will have fusion by the time we run out of uranium and thorium. A thorium reserve of 1.5 million tons will be exhausted in 1100 years at an annual consumption of 1350 tons.&lt;br&gt;&lt;br&gt;The differences between Light Water Reactors (LWR) and Thorium Molten Salt Reactors (TMSR) are significant in fuel utilization and waste production. LWRs use approximately 0.5-1% of uranium fuel, leading to the generation of long-lived radioactive waste due to inefficient energy conversion and the use of enriched uranium. In contrast, TMSRs can achieve fuel efficiency of up to 98%. This is achieved by converting fertile thorium-232 into fissile uranium-233, substantially reducing waste production and more manageable radioactive waste. Uranium Molten Salt Reactors (UMSR) are just as effective as TMSRs.&lt;br&gt;&lt;br&gt;800 kg of natural thorium in a Molten Salt Reactor (MSR) can generate 1 gigawatt (GW) of electricity for one year. In comparison, generating the same amount of energy in a Light Water Reactor (LWR) would require mining 200 tons of uranium. In an MSR, the storage requirement for 83 percent of the spent fuel is 10 years, and 300 years for the remaining 17 percent, whereas in an LWR, 28 tons of spent fuel need reprocessing and storage for 200,000 years. MSRs can utilize the spent fuel from LWRs. A coal power station will need to burn 3.5 million tons of coal and emit 10 million tons of carbon dioxide to produce the same amount of energy for one year. That amount of coal contains 3 to 14 tons of uranium, 3 to 14 tons of thorium, and average of 84 tons of arsenic.&lt;br&gt;&lt;br&gt;MSRs can adjust power output to match electricity demand, thanks to the inherent and automatic load-following capability provided by the fluid nature of the molten salt coolant. A key safety feature of MSR is that it automatically adjusts to prevent overheating. This is achieved through a &amp;quot;negative thermal reactivity coefficient,&amp;quot; which means that as the temperature rises, the reactor&amp;#39;s reactivity decreases, preventing a runaway chain reaction. Additionally, the MSR has a &amp;quot;negative void reactivity coefficient,&amp;quot; ensuring that the reactivity decreases if there is a loss of coolant or boiling, preventing potential overheating. These safety measures help keep the reactor stable and safe under various conditions.&lt;br&gt;&lt;br&gt;Looking ahead to 2040, China plans to deploy Molten Salt Reactors (MSRs) for desalination of seawater, district heating or cooling, hydrogen production, powering of ships equipped with Thermoacoustic Stirling Generators, and power plants with Supercritical Carbon Dioxide Turbines within its borders and globally. In the Earth&amp;#39;s crust, thorium is nearly four times more abundant than uranium. Every atom of natural thorium can be harnessed, unlike natural uranium, where only 1 out of every 139 atoms can be used. China produces thorium as a byproduct of its rare earth processing.&lt;br&gt;&lt;br&gt;Similar to the trends observed with solar and wind technologies, MSR costs are anticipated to decrease with the scaling up of production and the development of robust supply chains.</t>
  </si>
  <si>
    <t>Good direction. So called green energy is very backward way to make energy without high capacitors</t>
  </si>
  <si>
    <t>Love it!  We need to get on it!</t>
  </si>
  <si>
    <t>Thx Erik, awesome video - Try to schedule a meeting with Biden admin.</t>
  </si>
  <si>
    <t>Eric:  The core message is excellent and I subscribe to it 100%:  we need to commercialize LFTRs as a solution to the climate crisis, energy security, energy poverty, nuclear waste, and health &amp;amp; safety.  I salute you for this.  I recommend, however, that you make a revised version of the video without the negative messaging.  Consider your audience:  LFTRs by Copenhagen Atomics, Flibe Energy in the US, and others should be attractive to Red and Blue states, North and South, East and West, libertarians as well as those who think it is the role of Government to help develop this technology (as was done with nuclear energy, the Internet, the space program, etc).  The way it is written now could alienate a lot of people who should support your message.&lt;br&gt;&lt;br&gt;So, what about turning this in the hopeful, inspiring message that it could be, and encouraging the audience to support this solution.  As we say where I come from, you don&amp;#39;t catch flies with vinegar.  For instance, &lt;br&gt;&lt;br&gt;(a) Why diss renewables?  That alienates 50+% of your potential support base.  It&amp;#39;s not logical to say that supporting renewables has done nothing good -- without renewables, emissions would have been much higher.  Why not say that we should do for LFTRs what we did for renewables, because they complement each other?  If you think -- as I do -- that LFTRS will end up being much more competitive, the market will eventually go for LFTRs where they are more suited.  &lt;br&gt;&lt;br&gt;(b) Why argue that stagnation of US use of energy per capita equals poverty?  That argument is unnecessary and not watertight (energy efficiency has made great strides to reduce per capita waste of energy, for instance, and poverty is caused by a multitude of factors including many that are totally unrelated to energy costs).  Why not bring the positive message that LFTRs could end energy poverty in the US, but also bring prosperity worldwide, which benefits everyone?  &lt;br&gt;&lt;br&gt;(c) Why criticize the current administration as if they are the only ones responsible?  Is it within his power to change the NRA attitude to &amp;quot;safety&amp;quot; or is it enshrined by law, requiring bipartisan support and voters&amp;#39; support to change it?  To me, the criticism seems unnecessary, ignores other reasons why the US Gvt is not (yet) supporting LFTRs, ignores current administration support for nuclear, and ignores other reasons for US political stagnation.  It is counterproductive in that it alienates potential supporters in a polarized environment.  Why not explain what I say above, that (a) LFTRs are a fantastic solution to all of the worries that face us: the climate crisis, dependence on conflict regions like Russia and the Middle East for energy, energy poverty, nuclear waste and safety, geopolitical threats, and (b) regulation should be adjusted.  This is the message currently doing the rounds in the UK (see here, and here&amp;#39;s hoping that the UK Gvt listens). This addresses concerns of &lt;b&gt;everyone&lt;/b&gt; regardless of political color.&lt;br&gt;&lt;br&gt;I hope you take this message the way it was intended:  to support the technology and to give some feedback to convey the core message even more effectively so that it attracts to everybody.</t>
  </si>
  <si>
    <t>You did it again E.  We need EVERYONE to understand the Laws of Physics as they relate to Human Energy consumption.</t>
  </si>
  <si>
    <t>In the ancient world virtue signalling created beautiful works of art and such, today it just creates pink haired cross dressers and fentenyl od&amp;#39;s.</t>
  </si>
  <si>
    <t>Thanks for a very informative video and I have subscribed to the channel for further knowledge</t>
  </si>
  <si>
    <t>what a nonsense. You are a liar.</t>
  </si>
  <si>
    <t>We need to focus on behind the meter , industrial uses for high temp process heat.</t>
  </si>
  <si>
    <t>You can work with El Salvador - they want nuclear - they will be the Dubai of central America</t>
  </si>
  <si>
    <t>I agree with everything you say</t>
  </si>
  <si>
    <t>Great video. A bit repetitive in some parts but maybe it was intended to be this way.</t>
  </si>
  <si>
    <t>Need to keep people like Trump and all the other maga Republicans  out of office . It&amp;#39;s all about the pocket books of the 1%. They want to maintain the status quo.</t>
  </si>
  <si>
    <t>Who do we vote for? The politicians don&amp;#39;t give a shit.  The armchair experts that need to be cut off the revenue generation of oil!!!! Trump, Bush and all the Rockefellers and Koke brothers need to be put out of business!!!! If you&amp;#39;re not part of the solution!!! You are a big part of the problem!!!!</t>
  </si>
  <si>
    <t>Tolles Video❤ Es gibt viele Konzepte! Ein deutsches StartUp (Dual-Fluid-Reactor) ist mittlerweile sogar in Ruanda, um die Regulierung hinzubekommen. Wenn Ruanda sowas schafft, sollten es die USA und Europa auch schaffen…. Irgendwann_xD83D__xDE05_</t>
  </si>
  <si>
    <t>Your graph at the beginning is completely false.  Coal consumption has drastically declined while gas and oil have nearly flatlined in the past 30 years.  Solar and wind energy have drastically increased, and will continue to do so until coal, gas and oil fall to zero, just before 2050.  I’m all for nuclear energy, if it can compete with solar and wind, but so far, it hasn’t come close, in fact, it’s roughly 3 times the cost.  We need clean baseload power, so nuclear, with hydro and shared capacity, makes sense, but the cost has to drastically reduce.  I’ve worked in the utility-scale power industry for nearly 20-years, trust me, no government is stopping nuclear development, it’s the LCEO of nuclear that’s stopping it.  Your software degree does not qualify you to fully understand costs associated with grid-scale power generation.  Experts have confirmed that our power grid, by 2050, will comprise of: 50% solar, 30% wind, with BESS, and 20% hydro and nuclear, which we almost achieve today.  Price drives development of power generation.  I grew up very poor with both parents working full time, in the 60’s, 70’s and early 80’s, and live much better than my parents do with 2 EV’s, solar and a small wind turbine powering my house and pay $0 for power or gasoline.  This video has some good points with ALOT of misinformation.</t>
  </si>
  <si>
    <t>By excluding the contribution of renewables to our energy production, the  chart at 35 seconds doesn&amp;#39;t present the full story.  Our use of fossil fuel is high and getting higher, despite $4-Trillion of renewable energy. However, it does not show that without the use of renewables, even more fossil fuel use would be required.&lt;br&gt;  Horses for courses.  Australia is making great strides with wind/solar/batteries.  Anecdotally, my house in New Mexico gets a majority of its electricity from a relatively small solar panel. However, Northern Europe and the North eastern portion of USA will be much better served with SMRs.</t>
  </si>
  <si>
    <t>How about working with India? They have been working ineffectually on Thorium for a long time.</t>
  </si>
  <si>
    <t>Eastern US has lost several large wind projects to cancellations because of cost overruns and environmental factors.  Several companies products have been turning out to be of low quality and not up to the expected specs which is going to shorten the life and efficiency of some of the projects still going.  Wind and Solar was supposed to assure that electricity was going to only get less expensive but government bodies have already realized how much money they are going to be losing as people move to EVs and are looking to add fees and taxes elsewhere to get that money back while also planning to remove government subsidies for clean power projects and EVs themselves.  The power generation goals are not going to be met.  The EV sales goals are not going to be met.  The only hope the US has of getting there is if several nuclear projects are spun up within the next year, some company steps up and takes over a national charge point infrastructure build out (*cough* Tesla *cough*) and several laws are changed to make EVs more appealing and cheaper.&lt;br&gt;&lt;br&gt;But nothing can be done by &amp;quot;the west&amp;quot; about China and India continuing to massively increase coal use while also cementing and paving over their part of the planet while polluting the air at spectacularly high rates.&lt;br&gt;&lt;br&gt;And when China prioritizes their domestic market or gets into conflict with the west by attacking Taiwan or pushing just a little to hard at Japan or the South China Sea then a huge part of the supply of manufactured parts just evaporates.</t>
  </si>
  <si>
    <t>&lt;a href="https://www.youtube.com/watch?v=FdMiVnA6Az0&amp;amp;t=10m11s"&gt;10:11&lt;/a&gt; I don&amp;#39;t think that graph is predicted right, China&amp;#39;s economy is definitely going to tank and espesialy so with the population remaining stagnant. China&amp;#39;s economy is like a house built on sand.</t>
  </si>
  <si>
    <t>I’m totally for us moving away from fossil fuels. However unlike “just stop oil” I also realise that we can’t just stop oil overnight! it’s not possible. We still need oil and gas to drive our ships, lorries and airplanes so instead of importing oil and gas with all the costs of transportation we should be exploiting our own resources _xD83C__xDDEC__xD83C__xDDE7_ whilst we aim towards a net zero carbon world. The protesters who block streets with their demonstrations forget that the food they eat and clothing they wear is transported by oil burning vehicles. &lt;br&gt;I’m trying to do my bit with solar, battery storage, a heatpump and driving an EV. but not everyone can afford these thing and that’s where governments come in, as they have to help.</t>
  </si>
  <si>
    <t>Danke!</t>
  </si>
  <si>
    <t>What a great news! We are finally taking care of Mother Earth instead of exploiting her affection. _xD83D__xDC4D__xD83D__xDC4D_</t>
  </si>
  <si>
    <t>The environmentalism religion in its absolute ownership of the supposed truth will never cease to amaze me.</t>
  </si>
  <si>
    <t>I like ideology ability to completely ignore reality. And people thinking that it not engendering and resource problem, but only policy problem. If anyone will be explained what HE personally will need to give up and endure to reach climate goals, you will have bo takers for this beside complete fanatics... There is number of studies that show that there is literally not enough materials can be mined in given time just because it technically impossible, not mentioned environmental impact and - surprise! fossil fuels needed to make that mining work - because no one hawe a full scale solution for mining run on electricity - and you need get decent ammoungh of it 24/7 to make it work, so solar and wind won&amp;#39;t help you here... To many empty words from climate alarmists and no working plan. Pure ideological bsht with best intensions, though.</t>
  </si>
  <si>
    <t>The climate movement is the domain of the Left. Their goal is to destroy capitalism and the Western world which they despise. What better way to sow chaos and destruction than to deprive the world of the foundation of industrialization and prosperity by demanding the end of inexpensive reliable energy. You are being played.</t>
  </si>
  <si>
    <t>Energy transition away from hydrocarbons is a horrible idea at this moment and would be disastrous for mankind.  If you want to go green advocate for vastly more nuclear.</t>
  </si>
  <si>
    <t>Does anyone else find it hilariously ironic that the report was published on what looks like an entire sheaf of paper?</t>
  </si>
  <si>
    <t>I’m not jealous of anybody… people can make all money they want… if you think that we’re  gonna be able to stop global warming at 1 1/2°C your not being realistic… you have Germany using coal plants …you have China building more new coal plants. China is never going to stop industrializing… India is just starting to industrialize… take your head out of the sand… we’re in for disaster after disaster after disaster because of global warming, and this is just the beginning… I also predict at least 200 years of wars in the world… also money doesn’t make you happy… if you are a sad person and you have lots of money, your money is not gonna make you a happy person …. there’s a lot of rich people out there that are not very happy… look at Trump. You can’t tell me he’s a happy person…✌️_xD83D__xDE0E__xD83C__xDFB8_</t>
  </si>
  <si>
    <t>This is the first year that there is at least a glimmer of hope on the energy transition front. It seems that in spite of our governments disruptive technologies are making a breakthrough.</t>
  </si>
  <si>
    <t>Your displays are out of focus Gavnah!</t>
  </si>
  <si>
    <t>The, so called, &amp;quot;Inflation Reduction Act&amp;quot; Should have been called the &amp;quot;Increasing Inflation In The US By Spending Trillions Of Dollars And Increasing Taxes To Pursue A Green Policy That Forces Americans To Spend A Fortune Converting Everything To Renewable Electric Until The U.S. Is Bankrupt And Their Power Grid Has Completely Collapsed Act&amp;quot;. The excerpt you show from IEA Report even mentions, &amp;quot;...stubborn inflation, higher borrowing costs and elevated debt levels...&amp;quot;.</t>
  </si>
  <si>
    <t>Do you think the US can actually achieve the number of electric cars  state by 2030?  The problem I see is that there are states pushing to shutter their fossil fuel energy plants and the amount of electricity produced is not enough to power all those electric cars.  California has, on several occasions, asked its population to &amp;quot;not plug in their electric cars for recharging&amp;quot; for periods of time.</t>
  </si>
  <si>
    <t>Run for prime minister, you&amp;#39;ll get my vote.</t>
  </si>
  <si>
    <t>Take this to COP and demand action this year&lt;br&gt;We need a global carbon tax and we need it &lt;br&gt;now. The time for talk, BLA BLA BLA is over&lt;br&gt;The planet is at a tipping point, It can&amp;#39;t &lt;br&gt;wait, Time to stand up and make a legend of &lt;br&gt;yourself. Vote as one and please pass this &lt;br&gt;bill&lt;br&gt;&lt;br&gt;                              Worldwide &lt;br&gt;carbon tax @&lt;br&gt;20 % carbon tariff should apply &lt;br&gt;to all greenhouse gas polluters&lt;br&gt;Eg 20 % on a &lt;br&gt;barrel of oil&lt;br&gt;Eg 20 % on a Tn of coal&lt;br&gt;Eg 20 % &lt;br&gt;on a kg of meat &lt;br&gt;Eg 20 % on, a Tn cement &lt;br&gt;produced,&lt;br&gt;Eg 20 % on a Tn Steel produced.&lt;br&gt;Etc. &lt;br&gt;Etc. ETC&lt;br&gt;&lt;br&gt;Carbon tax worldwide&lt;br&gt;&lt;br&gt;Paid to a central &lt;br&gt;carbon fund UNGCF.&lt;br&gt;Administered and regulated &lt;br&gt;by the United Nations Global Carbon Fund. &lt;br&gt;UNGCF&lt;br&gt;&lt;br&gt;fund A 20 %of total sales of greenhouse &lt;br&gt;gas Emitteing, polluters should pay for the &lt;br&gt;mess&lt;br&gt;Creating a yearly fund of 2 trillion &lt;br&gt;dollars&lt;br&gt;40 GT @ 50$ per tn = 2 trillion per &lt;br&gt;year That is 10 billion per year For 195 &lt;br&gt;countries and territories, SO they can have &lt;br&gt;any chance of reaching their net zero targets &lt;br&gt;and fifty billion for the UNGCF, this will &lt;br&gt;fund all the UN&amp;#39;s global, humanitarian &lt;br&gt;projects&lt;br&gt;I am shaw you will all agree, that &lt;br&gt;they deserve this fund and they do a great &lt;br&gt;job for all the planet&amp;#39;s occupants&lt;br&gt;&lt;br&gt;            &lt;br&gt;                     2 trillion per year&lt;br&gt;For &lt;br&gt;50 years That&amp;#39;s 100 trillion dollars to &lt;br&gt;repair climate change. That is less than 2% &lt;br&gt;of the global yearly gross GDP, So we can &lt;br&gt;build and create utility infrastructure for &lt;br&gt;hundreds of years.I can&amp;#39;t make it any simpler &lt;br&gt;than that, please Global ambassadors help &lt;br&gt;your people&lt;br&gt;&lt;br&gt;The countries can utilize their &lt;br&gt;funds to build the infrastructure required &lt;br&gt;for a clean green future&lt;br&gt;carbon capture and &lt;br&gt;storage facilities, organic carbon sinks&lt;br&gt;Research and development into CO2 reduction &lt;br&gt;technology&lt;br&gt;Atmospheric reduction strategy&lt;br&gt;ocean &lt;br&gt;reduction strategies&lt;br&gt;The polluters must pay &lt;br&gt;the free ride must end, and everyone should &lt;br&gt;receive, This is a global problem and &lt;br&gt;requires a global solution, all working &lt;br&gt;together as one. Absolutely. T</t>
  </si>
  <si>
    <t>Nice clear video.&lt;br&gt;We are not only not committed to phasing out fossil, we are still fighting wars over access to fossil reserves, that should never be exploited. Insanity.</t>
  </si>
  <si>
    <t>What are your thoughts on this Dave? We don&amp;#39;t have the resources to do things as planned:&lt;br&gt;&lt;br&gt;&lt;a href="https://youtu.be/YbnXMv19Hck?si=BRAmhFMIqKkn0-aO"&gt;https://youtu.be/YbnXMv19Hck?si=BRAmhFMIqKkn0-aO&lt;/a&gt;</t>
  </si>
  <si>
    <t>Always liked this channel but 2.5 degree rise from PIL should be put in a paleo climatic context. Please don’t capitulate to the current naive and binary global warming narrative. Most people accept warning is happening but informed people can put it in the context it requires.</t>
  </si>
  <si>
    <t>In germany, the newly released Building Energy Law was so massively influenced by opposition disinformation campaigns that the final released version is practically void of any serious legislation to cut fossil fuel use in any kind of building anytime soon. The media campaigns also led to such massive distrust within the population that, contrary to what would be necessary, the recent sales of gas boilers is skyrocketing, whereas the sales of heat pumps, on the low to start with, is almost completely destroyed. Big heating retailers were storing up on heat pumps when the legislation process started and are now sitting on piles of them, being unsellable, because average Joe is so worried and disinformed that the majority is currently setting up gas boilers again, before they are being completely forbidden. There are numbers out there that set prices for new gas boilers plus installation around 8500 € versus heat pumps plus insulation works and so on around up to 50000€ to over 100000€. Which is, of course, ridiculous. Its maddening beyond belief.</t>
  </si>
  <si>
    <t>Excellent video as ever. I wish there was a timeline for stopping fossil fuel use as we canlt go to zero for many years without regressing to a standard of living that most people would not accept. I would like the timeline to also show how much of our oil comes from regimes that are untrustworthy to say the least as I currently think that the government are correct to issue licenses for the North Sea (as long as we have first right to buy the oil if these &amp;quot;untrustworthy&amp;quot; regimes decide to weaponise their oil.&lt;br&gt;&lt;br&gt;The sooner we are not reliant on these regimes for our energy the better it is and producing and using more of our own oil and gas while we reduce our demand as quickly as possible is the best way to do this.&lt;br&gt;&lt;br&gt;Just as an example of how long we will need to use oil, the total number of cars in the UK is about 35 million. We sell around 1.7 million cars a year, so even if we were selling 100% EV&amp;#39;s it will, take twenty years to convert the whole UK car fleet. This means we will still, have a need for petrol and diesel for many years.</t>
  </si>
  <si>
    <t>Very nice episode. Well done! However, I am still disappointed that most presenters and interpreters of the hard science do NOT factor in dieoff in their projected scenarios. IMHO we will likely achieve what is euphemistically called &amp;quot;net zero&amp;quot; by 2050 because 60-80% of the global population will have already died off due to WWIII, nuclear holocaust, or famine.</t>
  </si>
  <si>
    <t>I have to agree with his Excellency - South Africa should have mothballed seven coal fired power stations. But because of our critical power crisis, which sees us having daily rolling blackouts, they are being utlised far beyond their natural lifespan, so the pollution levels are sky high, and with the corruption and graft, there are no funds for alternatives.&lt;br&gt;&lt;br&gt;To keep from a total grid collapse Escom uses diesel....&lt;br&gt;&lt;br&gt;And then we have the climate change denialists - the &amp;quot;what, it&amp;#39;s summer, what did you think&amp;quot;, which doesn&amp;#39;t help.&lt;br&gt;&lt;br&gt;Who do we believe - those who say the production of EV vehicles uses more energy than they save?</t>
  </si>
  <si>
    <t>Global warming is an anti-human anti-population hoax, and anyone who talks about renewables without talking about nuclear is a quack. I don&amp;#39;t know why YouTube recommends this stuff to me, even though I dislike stuff like this every time it comes up. Must be the establishment working overtime...</t>
  </si>
  <si>
    <t>It seems to me that even if Donald Trump doesn&amp;#39;t win next year&amp;#39;s presidential election in the US, the fact that he is currently leading in the polls suggests that there is something seriously wrong with the mindset of much of the electorate in that country.</t>
  </si>
  <si>
    <t>I&amp;#39;ve seen several people claim that there aren&amp;#39;t enough metals etc available to make enough green tech (wind turbines including the generators inside, solar panels, batteries, motors for EVs etc) to power the whole world&amp;#39;s energy needs. The implication being that rich countries can decarbonise, but poor countries either use fossil fuels or stay poor. Could you look into these claims and see if they have a point, or show what incorrect assumptions they&amp;#39;ve made to come to this conclusion? &lt;br&gt;&lt;br&gt;There are some tech innovations I&amp;#39;m aware of such as LFP batteries reducing the need for cobalt and nickle and potentially sodium batteries reducing the need for lithium. But what about copper? That&amp;#39;s needed for nearly everything electrical. Which necessary elements are most constricted and do we have a way around that?</t>
  </si>
  <si>
    <t>Nukes...</t>
  </si>
  <si>
    <t>IEA forecasts have never been correct. Not once. They are still projecting linear growth.</t>
  </si>
  <si>
    <t>We are winning, planet Earth is losing. What could GO wrong ?</t>
  </si>
  <si>
    <t>Sunshine is the best disinfectant and the smart money knows which way the wind blows.</t>
  </si>
  <si>
    <t>&amp;#39;&amp;#39;which (...) does suggest a peak in fossil fuel production at some point in the next few years&amp;#39;&amp;#39; Absolutely not. We are already past that. Maximum world oil production occured in 2018. With the decline of production of Russia, the production stagnation of Saudi Arabia (the data about Saudi oil production communicated by Frenchfries on peakoilbarrel blog show that Saudi Arabia oil production will decline at the end of the 2020s) and the current decline of oil production of Permian in USA, I can tell with a very high level of confidence that this level will never be reached again (the world oil production without these three countries has decreased of 4Mb/d since 2016). Secondly, the world gas production has broken its continuous production rise in 2019 and the combined production of the top 9 world gas companies is stagnating or is in slight decline. So it seems that the world gas production is also peaking by now. The world coal production is on a production plateau since 10 years now. I have no idea of how long it will last but it will be the economical demise of China. In conclusion, the peak of fossil fuels production is ... now.</t>
  </si>
  <si>
    <t>The investments in fossil fuels are going nowhere. Indeed, despite the billions of dollars spent in oil reserves research, the oil industry is barely able to find every year more than 1/3 or half of what would be needed to supply the current production since 20 years now. The same is for gas exploration. Therefore, I don&amp;#39;t know if we must be worried about these investments. There should be more concern about the waste of time, money and ressources dedicated to these research and the reallocation of these investments toward other sectors of energy which are needing them.</t>
  </si>
  <si>
    <t>All our efforts will be meaningless if runaway climate change is not averted. None of the IPCC RCP models include tipping points in their predictions. Recent study by Hansen et al. suggests we will breach 2 C before 2050 even. We need completely different solutions to be able to tackle this now.</t>
  </si>
  <si>
    <t>Thanks for your fantastic analysis</t>
  </si>
  <si>
    <t>Dave, I&amp;#39;ve watched every one of your videos since day one. I&amp;#39;m a fan, and I&amp;#39;m grateful for the good work you do to disseminate true facts on climate change. &lt;br&gt;For a long time, it has been painfully obvious that governments and industries are not keeping up with the needed reductions, and that we&amp;#39;ll certainly blow through the 1.5C limit. &lt;br&gt;Now this: 2.5C on current trajectory. But even that end goal assumes that we continue relentlessly to the very end, and doesn&amp;#39;t account for the considerable obstacles that lie ahead. &lt;br&gt;&lt;br&gt;One huge obstacle is governments in petro-states, like the US and Russia. Russia obviously doesn&amp;#39;t care about climate change at all, and the US is currently pushing hard towards &amp;quot;energy leadership&amp;quot; from increased fossil fuel production. And massive energy consumers like China is a leader in renewables, but they also still burn more coal. And coal-producers like Australia will not give up on coal. They are expanding exports to China. OPEC will not give up on their business model. &lt;br&gt;&lt;br&gt;An even bigger obstacle is people. People will vigorously object to anything being built &amp;quot;in their back-yard&amp;quot; no matter the common-good. Climate-denying people support climate-denying politicians in an endless cycle. They will work incredibly hard to undermine all efforts to transition away from carbon fuels, just.... because!&lt;br&gt;&lt;br&gt;And then there&amp;#39;s aviation. Everyone knows that you can&amp;#39;t decabonize air transport, because only liquid fuels like kerosene have the energy density to fly. No airline is planning on adopting electric or battery aircraft, but they can make jet fuel from CO2 in the air. United Airlines, laughably, has committed to 100% SAF (sustainable aviation fuels) but they are impossibly expensive and basically don&amp;#39;t exist. What is United actually doing towards SAF? You know... nothing. United&amp;#39;s plan is an Empty Promise.&lt;br&gt;&lt;br&gt;And did you hear about Boom Supersonic? They want to make a new supersonic passenger jet that runs on SAF. They recently announced they are starting to build the engine and design the fuselage. But.... no mention of the SAF. I think they will just omit that bit, and continue to build the next concorde. They think all this is perfectly normal, and it is, if you completely ignore climate change, which is obviosuly what manu industries are doing right now. &lt;br&gt;&lt;br&gt;And, by the time the cost of climate disasters outstrips even the cost of going renewable, the momentum to fix climate change will grind to a halt. Simply mitigating the ongoing effects will be too expensive, and efforts to decarbonize will stop. By then, it will be too late, and humans will be spending a lot of effort trying to keep civilization afloat, and then the Apocalypse will be a greater worry than even climate change itself. &lt;br&gt;&lt;br&gt;It&amp;#39;s been good knowing you Dave, take care.</t>
  </si>
  <si>
    <t>_xD83D__xDE02__xD83D__xDE02__xD83D__xDE02__xD83D__xDE02__xD83D__xDE02_ is this advertisment for gas and oil?&lt;br&gt;&lt;br&gt;listen to engineering with rosie and liebreich and minerals and listen to liebreich when he talks to fatih birol on the mlcleaningup podcast&lt;br&gt;&lt;br&gt;in short &amp;quot;there are plenty of minerals&amp;quot; &amp;quot;not even slow down the transisiton&amp;quot;&lt;br&gt;&lt;br&gt;_xD83D__xDE02__xD83D__xDE02__xD83D__xDE02__xD83D__xDE02__xD83D__xDE02_</t>
  </si>
  <si>
    <t>_xD83C__xDFAF_ Key Takeaways for quick navigation:&lt;br&gt;&lt;br&gt;&lt;a href="https://www.youtube.com/watch?v=FdMiVnA6Az0&amp;amp;t=00m00s"&gt;00:00&lt;/a&gt; _xD83C__xDF0D_ Einführung und Hintergrund des International Energy Agency (IEA)&lt;br&gt;- Das IEA veröffentlicht jährlich den &amp;quot;Energy Outlook&amp;quot; und bietet wichtige Daten für Entscheidungsträger und die Öffentlichkeit.&lt;br&gt;&lt;a href="https://www.youtube.com/watch?v=FdMiVnA6Az0&amp;amp;t=01m21s"&gt;01:21&lt;/a&gt; _xD83D__xDEE2_️ Streit über die Zukunft der fossilen Brennstoffe&lt;br&gt;- Das IEA prognostiziert einen Rückgang der Nachfrage nach Kohle, Öl und Erdgas in diesem Jahrzehnt.&lt;br&gt;- OPEC widerspricht und betont die Bedeutung fossiler Brennstoffe.&lt;br&gt;&lt;a href="https://www.youtube.com/watch?v=FdMiVnA6Az0&amp;amp;t=02m42s"&gt;02:42&lt;/a&gt; _xD83C__xDF21_️ Herausforderungen des aktuellen Energiesektors&lt;br&gt;- Konflikte, Inflation, hohe Schulden und steigende Treibhausgasemissionen belasten die Welt.&lt;br&gt;- Der Energiesektor trägt zur Luftverschmutzung und vorzeitigen Todesfällen bei.&lt;br&gt;&lt;a href="https://www.youtube.com/watch?v=FdMiVnA6Az0&amp;amp;t=03m37s"&gt;03:37&lt;/a&gt; _xD83C__xDF10_ Szenarien für den Übergang zu sauberer Energie&lt;br&gt;- Verschiedene Balloncluster repräsentieren geopolitische Ambitionen und Klimaziele.&lt;br&gt;- Das Ziel, bis 2050 netto null Emissionen zu erreichen, birgt Herausforderungen, da Temperaturen bereits überschritten wurden.&lt;br&gt;&lt;a href="https://www.youtube.com/watch?v=FdMiVnA6Az0&amp;amp;t=05m01s"&gt;05:01&lt;/a&gt; ☀️ Fortschritte bei erneuerbaren Energien&lt;br&gt;- Investitionen in saubere Energie sind gestiegen, ebenso wie die Kapazität erneuerbarer Energieerzeugung.&lt;br&gt;- Elektrofahrzeuge werden weltweit immer beliebter.&lt;br&gt;&lt;a href="https://www.youtube.com/watch?v=FdMiVnA6Az0&amp;amp;t=07m22s"&gt;07:22&lt;/a&gt; _xD83C__xDDE8__xD83C__xDDF3_ Einfluss Chinas auf den Energiesektor&lt;br&gt;- China spielt eine große Rolle bei Öl, Gas und Kohle, aber sein Wachstum verlangsamt sich.&lt;br&gt;- China investiert stark in grüne Energie und erneuerbare Energietechnologien.&lt;br&gt;&lt;a href="https://www.youtube.com/watch?v=FdMiVnA6Az0&amp;amp;t=09m30s"&gt;09:30&lt;/a&gt; _xD83C__xDF0D_ Herausforderungen in Schwellenländern&lt;br&gt;- Subsahara-Afrika steht vor der Herausforderung, den Großteil der neuen Energieerzeugung auf erneuerbare Energien umzustellen.&lt;br&gt;- Die Finanzierung von sauberen Energieinvestitionen und der Abschied von fossilen Brennstoffen sind erforderlich.&lt;br&gt;&lt;a href="https://www.youtube.com/watch?v=FdMiVnA6Az0&amp;amp;t=11m21s"&gt;11:21&lt;/a&gt; _xD83C__xDF0E_ Ausblick und Handlungsaufruf&lt;br&gt;- Die Welt steht vor entscheidenden Herausforderungen im Kampf gegen den Klimawandel.&lt;br&gt;- Greenpeace fordert dringende Maßnahmen zur Beendigung der Nutzung von Öl, Kohle und Gas.&lt;br&gt;&lt;br&gt;Made with HARPA AI</t>
  </si>
  <si>
    <t>Inspite of official reports about combating climate change,  have a think about the measurements of CO2, N2O etc at Mauna Loa.  The graphs show little sign of progress.</t>
  </si>
  <si>
    <t>The trouble with electric cars in the UK is the high cost of insurance and repairs.&lt;br&gt;&lt;br&gt;Heat pumps are too expensive for most, but you haven&amp;#39;t mentioned this.&lt;br&gt;&lt;br&gt;Also how do we manufacture new windmills without energy.&lt;br&gt;&lt;br&gt;So just where is the energy going to come from.&lt;br&gt;&lt;br&gt;You&amp;#39;re simply not answering these important questions.</t>
  </si>
  <si>
    <t>In France transition policies are spreading out nation wide, at an incredible rate .. my job will be to convince the public that we have the solutions to &amp;quot;reduce&amp;quot; our green gas emissions , and that the solutions are in their hands.. Energetic transition could be a way out.. But how do we thrive in convincing others and changing our habits while we see trillions spent on war equipment, and other crazy &amp;quot;innovations&amp;quot;, produced with you know what ... its as if no one gives a damn about the futur generations really, what i could understand seeing the last report on methane outburst... my vision is that we need a world wide revolution if we want to see a real change .. bring technicians and scientists to replace the scammers we are facing.. even if its too late !</t>
  </si>
  <si>
    <t>As the demand for renewable energy technologies grows, the need for raw materials like lithium, cobalt, nickel, and rare earth elements also increases. This demand can lead to increased exploration and exploitation of lower-grade ores, as higher-grade deposits become sc&lt;br&gt;Processing lower-grade ores typically requires more energy and can have a greater environmental impact due to the larger amounts of rock and waste material that must be moved and processed. This increase in energy consumption and environmental degradation can lead to higher costs.&lt;br&gt; &lt;br&gt;  The economics of renewable energy technologies are influenced by the cost of raw materials. If the costs of these materials rise significantly, it could slow down the growth and adoption of these technologies.     The availability and cost of raw materials are also influenced by global supply chains and geopolitical factors. For example, countries with large reserves of critical minerals have significant influence over global markets.&lt;br&gt;   While in the short term, the depletion of high-grade mineral deposits can pose challenges, long-term projections must consider potential breakthroughs in technology, changes in market dynamics, and the development of new sources of raw materials (including deep-sea mining and space mining).&lt;br&gt;  As the cost of raw materials for renewable technologies increases, the retail price of these technologies is likely to rise. This directly affects consumers, who may have to pay more for products like electric vehicles or solar panels. Higher costs can slow down the adoption of these technologies by making them less accessible to a broader segment of the population.&lt;br&gt;   Governments play a crucial role in supporting renewable energy technologies, often through subsidies and investments. If the cost of supporting these technologies rises due to increased raw material prices, governments may need to allocate more funds for these subsidies. This could lead to higher taxes or reallocation of budget from other areas, indirectly affecting the population.&lt;br&gt;   If the return on investment (ROI) in renewable energy technologies decreases due to higher costs, private investors might be less inclined to invest. This reduction in private investment could slow down the development and deployment of new technologies, potentially leading to a slower transition to renewable energy.&lt;br&gt;  Dependency on Government Policy: Many renewable energy initiatives rely heavily on government policy and funding. If governments face budget constraints or prioritize other areas, funding for renewable energy could decrease. This scenario could slow down innovation and development in the field, delaying advancements that might otherwise reduce costs and improve efficiency.&lt;br&gt; Social Equity Concerns: Higher costs for renewable energy technologies could exacerbate social equity issues. Lower-income households and communities might find it more challenging to access these technologies, widening the gap in energy equity.&lt;br&gt;  Potential for Innovation and Efficiency Gains: On the positive side, higher costs can sometimes drive innovation. Companies and researchers might be incentivized to develop more cost-effective technologies, explore alternative materials, and improve recycling to reduce dependence on raw materials.&lt;br&gt;While rising costs of raw materials for renewable energy technologies pose challenges, they also open avenues for innovation and efficiency gains. The impact on the general population and government budgets is significant, potentially affecting consumer prices, taxation, and investment in new technologies. Balancing these factors while transitioning to a sustainable energy future is a complex task that requires coordinated efforts between governments, private sectors, and consumers.</t>
  </si>
  <si>
    <t>_xD83D__xDC4D_</t>
  </si>
  <si>
    <t>This is all good and well, but given current solutions are no better than existing ones I fail to see how this helps anyone apart from those profiteering from the green agenda. &lt;br&gt;&lt;br&gt;Whilst Evs, solar and wind do minimise carbon output, we are creating another crisis for the future. Why do people believe that poisoning the land to save to skies is the solution? We are already seeing the mountains of dead batteries building up in third world countries slowly seeping heavy metals into the water table. Not to mention how bad solar panels and windmills are to deal with.... Just like all our &amp;quot;Recycling&amp;quot; send it away and pretend it&amp;#39;s not our problem anymore, meanwhile the poorest people in the world are living in piles of our trash.&lt;br&gt;&lt;br&gt;Real solutions or don&amp;#39;t bother is what I say. I&amp;#39;m sorry to say this but if you think these so called green solutions are either green or sustainable you have sadly been misinformed.</t>
  </si>
  <si>
    <t>The only realistic replacement for Fossil Fuel energy is nuclear power .  Increases in the availability of wind and solar are great but it is necessary to employ nuclear power until the problem of intermittency of sun and solar is solved and solved entirely .</t>
  </si>
  <si>
    <t>destroying farms and chopping down trees to connect them doesn&amp;#39;t make a lot of sense</t>
  </si>
  <si>
    <t>The 1.5 degree goal totally ignores the effect of volcanoes.  VEI 7 and 8 eruptions are rare, but there are on average around 3 VEI 6 eruptions per century.  I&amp;#39;m sure you remember the Mt. Pinatubo eruption which was VEI 6 and according to the global warming canon caused a twenty year pause in global warming.  Vulcanologists but it as a one degree dip through the following year and two decades to get back to the previous temperature.  If global warming is held to 3 degrees this century and volcanic eruptions bring it back to no increase, then what do we do in the twenty-one hundreds?  Of course, if there is a VEI 7 or 8 eruption, we will be trying to produce global warming...</t>
  </si>
  <si>
    <t>Hi Robert, 1 year ago you did an episode “ How to reduce the carbon dioxide from our oceans “ . I think this is the best solution yet on reducing CO2 on our planet. You mentioned a few weeks ago that you may follow up on some past episodes, I think this one would be good to see if UCLA has moved forward with this project. &lt;br&gt;Cheers &lt;br&gt;Michael Malone Bowral Australia.</t>
  </si>
  <si>
    <t>Every use of electricity generates heat in some way, so until we entirely give that up we’re headed for extinction by overheating.&lt;br&gt;Also, every projection mentioning end of century temps has obviously ignored the principles of acceleration, currently active feedbacks and serious lack of cold ocean masses at depth.&lt;br&gt;Food production tipping points will likely be reached next year as well as 2C.&lt;br&gt;The acceleration curve starting from 1750 baseline has us at close to 4C by 2030.</t>
  </si>
  <si>
    <t>Thanks</t>
  </si>
  <si>
    <t>I am all for climate protection.&lt;br&gt;BUT&lt;br&gt;If climate supporting turns out to be same as hamas support as in this video, we go so wrong &lt;a href="https://www.youtube.com/watch?v=_bAfHi_rH7Y"&gt;https://www.youtube.com/watch?v=_bAfHi_rH7Y&lt;/a&gt;</t>
  </si>
  <si>
    <t>i&amp;#39;m living in the philippines, beautiful country, if only it hadn&amp;#39;t been destroyed by people. as for the whole burning of fossil fuels and clean energy here, it&amp;#39;s shocking to be on the roads anywhere here; nearly all vehicles are DIRTY diesels, the roads are full of smoke from vehicle emissions, and nearly every vehicle on the road is some gigantic SUV or pickup truck. in addition to that, people are burning plastics and green leaves and wood every day, rather than composting, all organic matter is burned, along with plastics, pvc, and all trash, smoldering rather than burning, and it&amp;#39;s like this everywhere i&amp;#39;ve been. &lt;br&gt;&lt;br&gt;i see no push and no will to live a cleaner greener lifestyle here. no one seems to care about all the smoke in the air. none of the authorities enforce the laws regarding environmental pollution, and the vehicles are getting bigger and dirtier all the time. if there are other places in the world like this too, we&amp;#39;re so fucked(and i know there are).</t>
  </si>
  <si>
    <t>He is getting more exasperated with time</t>
  </si>
  <si>
    <t>Allow me to share a bit of my wisdom with you, by repeating my previous constructive comment: WE&amp;#39;RE SOOOOOOOOOOOO F*CKED!!!! _xD83D__xDE35__xD83D__xDE35_‍_xD83D__xDCAB_</t>
  </si>
  <si>
    <t>The outlook is not too optimistic. But just to add a few words on China. I would just recommend being very careful taking any of their numbers too seriously. China is (not only) economically in dire straits with large companies leaving, housing sectors slowly collapsing and their massive over-production of EVs making it tough for companies making them to survive. China will do ANYTHING to save itself and does the care the slightest bit about CO2 production, pollution, ecology or its own citizens. Sadly.</t>
  </si>
  <si>
    <t>OPEC is run by aliens</t>
  </si>
  <si>
    <t>What if a large Carrington event occurs ?  What if it burns out all our EV’s and electric service?  Practice your walking.</t>
  </si>
  <si>
    <t>This just go to show monopoly’s shuouldnt be allowed! The oil companies have too much power and own too many media outlets,spreading fake news is their favorite pass time _xD83D__xDE2E_</t>
  </si>
  <si>
    <t>Whilst the west makes overpriced drugs for people who can’t afford them (capitalism) China builds ever more efficient solar at ever more reduced prices (socialism) I know which I prefer _xD83C__xDDE8__xD83C__xDDF3__xD83D__xDE0A_</t>
  </si>
  <si>
    <t>Legally bindung commitments till 2030: like the Maastricht criteria for the Euro?&lt;br&gt;Which politician is elected till 2030? It&amp;#39;s not useful to discuss such statements. Better to discuss about the financial side.</t>
  </si>
  <si>
    <t>To everyone: Be wary of the phrase, &amp;#39;We need time to transition to a sustainable future.&amp;#39; True enough, but I&amp;#39;ve (and most) been listening to that same statement for over 20yrs. Unfortunately, we&amp;#39;ve pretty much run out of time to transition.... Remember whe the Inconvenient Truth was released? 2006 or almost 18yrs ago. And the fossil heads keep saying we need time to transition. I figured they scored big time when they got the world to agree to the &amp;#39;Net-zero by 2050&amp;#39; goal. This kicking-the-can-down-the-road strategy will end up turning our planet into a baked potato.</t>
  </si>
  <si>
    <t>I&amp;#39;m taking a break from doing a report. In the report, I have Rethink X&amp;#39;s disruption curve chart and a 2010-2024 U.S. EIA projection chart for wind and solar. The two charts match.</t>
  </si>
  <si>
    <t>Hi and thanks for not switching off comments on this topic, i have questions and would be interested in hearing thought on the following.&lt;br&gt;&lt;br&gt;1. the general consensus is there is not enough (known) minerals in the world to accomplish the green transition, like for like. &lt;br&gt;&lt;br&gt;2. the Norway statics departments Published: September 2023 discussion paper advises the following...&lt;br&gt;- there have been large climatic variations. Temperature reconstructions indicate that there is a ‘warming’ trend that seems to have been going on for as long as approximately 400 years. Prior to the last 250 years or so, such a trend could only be due to natural causes. &lt;br&gt;&lt;br&gt;the effect of man-made CO2 emissions does not appear to be strong enough to cause systematic changes in the temperature fluctuations during the last 200 years.&lt;br&gt;&lt;br&gt;end of references. &lt;br&gt;&lt;br&gt;i am a believer of alternative energy sources as the human species will eventually run out of fossil fuels, and the then what question needs to have been answered long before then.&lt;br&gt;&lt;br&gt;the interesting intervention by politics and by self interest groups seems to be hijacking the process and we will have no hope in gaining accord in the correct course of action without an actual workable plan, and the current plan is clearly not workable and is being actioned for the wrong reasons. &lt;br&gt;&lt;br&gt;regards</t>
  </si>
  <si>
    <t>@11 : 58 some oil companies are better at capturing politicians than at capturing emissions ………they’ve had so much practice at it…………&lt;br&gt;All th pay offs and the rip offs and the rip offs an th things nobody saw</t>
  </si>
  <si>
    <t>Greenpeace... the one who push Germany and other to use coal instead of nuclear... never forget that. They are the ally of global warming.</t>
  </si>
  <si>
    <t>I would love a video about war and the output of Carbon emissions during conflicts (which should be/have been avoided) and the emissions of the weapon industry. Thx. Sean from Naples, Italy</t>
  </si>
  <si>
    <t>So tech Chanel. Calculate people reduction and all your numbers will be best ,  There is no way out, unless less people in the world, china rule was best example, can be done better way without harming</t>
  </si>
  <si>
    <t>Breaking records on green energy installations..... Congratulations on not displacing much. The rate of renewables are installed is far lower than the energy growth. Say what you want with weird balloon info graphics, fossil fuels usage has not slowed and will not slow for the foreseeable future. The fact is that fossil fuels are genuinely hard to beat. You need a cheaper and more energy dense alternative to compete. The only source that competes is nuclear. Diffuse green energy only makes sense when you give incentives.</t>
  </si>
  <si>
    <t>Please forgive me for me what i am about to say, i am not a very intelligent human and i am very confused, Because all this anti fossil fuel people this small part That is Energy transition since these people are hell bend of stopping all fossil fuel right now , so please answers the following questions for me-&lt;br&gt;- Currently from what i learned from google that energy demand is about to rise from 60% to 180% by 2050 due to EV&amp;#39;s and electrification of all thing now.&lt;br&gt;-If we were to stop using fossil fuel right now can we generate enough electricity to meet our current demand let along future demand through renewable energy.&lt;br&gt;Because we need time, money, manpower and skill to build infrastructure and do we have enough of it. Let assume we stop all coal and fossil fueled power plant, can we build solar, wind or any renewable infrastructure fast enough to replace them.&lt;br&gt;From what i know building things take time, money, manpower and skill, do we have enough manpower to can build these infrastructure because i do not think that an average joe can install and maintain solar  and wind farms.&lt;br&gt;Do we have enough raw material to sustain these- Rare-earth metal for batteries, silicone for solar panel, composite material for wind power.&lt;br&gt;Do we have enough facilities to process this  raw materials.&lt;br&gt;Do we have enough manufacturing facilities to mass produce solar panel, batteries, wind blades, power semiconductor( for energy conversion).&lt;br&gt;And most important of all Time, all these people saying the stop fossil fuel, how we can generate enough green energy to substitute fossil fuel let along meet the growing need, i do not think we can build a solar farm or wind farm in a day.&lt;br&gt;Let assume by some magic we manage to produce enough green energy to replace fossil fuel and meet future demand, where all this energy is going because i do not think that current grid an handle anywhere near this amount which our aging grid.</t>
  </si>
  <si>
    <t>This video was a stream of uninterupted words. Very limited structure and hardly any concrete message.</t>
  </si>
  <si>
    <t>Evs are an inflamable blind alley</t>
  </si>
  <si>
    <t>Why Is the 1st Satellite Observation Sidelined? No CO2? | Independent Climate Research 20231106&lt;br&gt;&lt;br&gt;&lt;a href="https://youtu.be/GtgaXD0Rr9g?si=aYXnyQXCB5uhyoI7"&gt;https://youtu.be/GtgaXD0Rr9g?si=aYXnyQXCB5uhyoI7&lt;/a&gt;</t>
  </si>
  <si>
    <t>WORLD’S LEADING PHYSICIST DISMISSES CLIMATE EMERGENCY “PSEUDOSCIENCE” -&lt;br&gt;&lt;br&gt;&lt;br&gt;&amp;quot;In a nutshell, anthropogenic climate change threats and so-called “solutions” are one of the biggest cons being imposed on the public in recent decades. It has never been about the climate, energy, or the environment. The climate agenda is about the takeover of our economy using an unscientific climate scare to achieve their ends. The climate scare is a backdoor way for progressives to impose central planning, socialism, and progressivism on the once-free West. Everything we cherish, from our homes to the foods we eat, the vehicles we drive, our ability to travel, and our freedoms, is at stake if the manufactured climate fear campaign succeeds. Luckily, we don’t face a climate emergency, but if we did and had to rely on meaningless United Nations climate pacts or the Green New Deal to save us—we would all be doomed.&amp;quot; (from &amp;quot;The Truth about Energy, Global Warming, and Climate Change: Exposing Climate Lies in an Age of Disinformation&amp;quot; by Jerome R. Corsi, Marc Morano) &lt;br&gt;&lt;br&gt;The Truth about Energy, Global Warming, and Climate Change: Exposing Climate Lies in an Age of Disinformation&amp;quot;&lt;br&gt;&lt;br&gt;&lt;br&gt;&lt;br&gt;WORLD’S LEADING PHYSICIST DISMISSES CLIMATE EMERGENCY “PSEUDOSCIENCE” -&lt;br&gt;&lt;br&gt;&lt;br&gt;Dr John Clauser, co-winner of the 2022 Nobel Physics prize and one of the world’s leading authorities on quantum mechanics, the study of matter and light at a sub-atomic and atomic level, has launched a massive attack on the “climate emergency” scare.&lt;br&gt;&lt;br&gt;Calling it a “dangerous corruption of science that threatens the world’s economy and the well-being of billions of people”, Dr Clauser has asserted that misguided climate science has “metastasized into massive shock-journalistic pseudoscience”.&lt;br&gt;&lt;br&gt;Awarded in 2010 the Wolf Prize in Physics, the second most prestigious physics award, Dr Clauser argues that climate pseudoscience has been promoted and extended by misguided business marketing agents, politicians, journalists, government agencies and environmentalists.&lt;br&gt;&lt;br&gt;“In my opinion, there is no real climate crisis. There is, however, a very real problem with providing a decent standard of living to the world’s largest population, and an associated energy crisis. The latter is being unnecessarily exacerbated by what, in my opinion, is incorrect climate science.”&lt;br&gt;&lt;br&gt;Physicists and chemists play a dominant role in investigating the science surrounding climate, which at its core focuses on heat exchange and the behavior of atmospheric gases. Dr. Clauser, moreover, is not the first Nobel physics prize winner to challenge the “settled” scientific narrative of climate change.&lt;br&gt;&lt;br&gt;The World Climate Declaration has been signed by around 300 climate professors and declares: “There is no climate emergency.” The lead signatory is the Nobel laureate Professor Ivar Giaever. Climate models are said to be “not remotely plausible as global policy tools”. They exaggerate the effect of greenhouse gases such as carbon dioxide, but ignore any beneficial effect, the Declaration states. “Climate science has degenerated into a discussion based on beliefs, not on sound self-critical science.”&lt;br&gt;&lt;br&gt;In 2019, Professor Antonino Zichichi, holder of Italy’s highest honor, the Knight Grand Cross of the Order of Merit of the Italian Republic, led a group of 48 Italian science professors in stating that human responsibility for climate change is “unjustifiably exaggerated and catastrophic predictions are not realistic”. In their scientific view, “natural variation explains a substantial part of global warming observed since 1850”.&lt;br&gt;&lt;br&gt;Recently, four Italian scientists, including three physics professors, undertook a major review of historical climate trends and concluded that declaring a “climate emergency” is not supported by the data. Over many meteorological categories, there was “no clear positive trend of extreme events”.&lt;br&gt;&lt;br&gt;Last September, the leading nuclear physicist Dr. Wallace Manheimer warned that Net Zero would end modern civilization. He observed that the new wind and solar infrastructure would fail, cost trillions, trash large portions of the environment “and be entirely unnecessary”.</t>
  </si>
  <si>
    <t>LOL. WINNING?  You already no messed up. Your entire generation created all of this mess.</t>
  </si>
  <si>
    <t>^Saudi peak oil? Huh. Go figure...^</t>
  </si>
  <si>
    <t>Any &amp;quot;action&amp;quot; dependent on wealthy people and the governments they control, is a guaranteed inaction, if not counteraction to necessary action with something worse. It&amp;#39;s a historically consistent pattern.</t>
  </si>
  <si>
    <t>The global green deal is bust. The lies the greens and friends have used to weight arguements in their favour are discovered. They will pay.....</t>
  </si>
  <si>
    <t>If the percentage of primary energy supply derived from fossil fuels falls say, 10% from 80% to 73% as suggested, the total energy supplied by fossil fuels could still be greater if the absolute size of the human enterprise on Earth rises by, say 20% over that period. Only by reducing the size of the human enterprise, will we be able to reduce the quantum of FFs burned and not just their personages of an ever-expanding economy. Can I suggest that the appropriate technology to make freely and voluntarily available would be family planning technology?</t>
  </si>
  <si>
    <t>The methane tipping point has been exceeded. We are looking at 5 - 10C of warming in the next five to twenty years. There will also be the collapse of the AMOC, so how that will balance out, vs the meteoric temp rise, well, I just don&amp;#39;t know. Maybe my house in Ireland, is exactly in the sweet spot. Quite probably, before the worst nightmares, of the greatest climate shock since the extinction of the dinosaurs truly hits us, we will have wiped ourselves out/back to the stone-age with a nuclear war. Imagine if thirty million USAmericans would starve, should Russia win in Ukraine!( and vice-versa in Russia) It would get very bad, very fast. Truly sad thing is, we just about, could have stopped it, but a few dozen oil executives, their marketing agencies and the politicians they &amp;#39;persuaded&amp;#39;, delayed us by thirty years (and continue to do so; in full knowledge of the billions who will die.). Thirty fatal years. I want those bastards named, and I want justice.</t>
  </si>
  <si>
    <t>Have you seen the news on ENG8 nuclear fusion where they produced 5times the put out of energy inputted? It’s been verified that it happened and the process works. What are your thoughts?</t>
  </si>
  <si>
    <t>The dork who made that pro-fossil fuel statement epitomises the attitude of too many big industrialists and political leaders, who would not be kowtowed by any legislation against the increased sales of their polluting and carcinogenic products. Those people don&amp;#39;t care about leaving a healthy planet for their offspring to inhabit.&lt;br&gt;&lt;br&gt;Yes, I call him a dork, and I would call him that to his face, because that&amp;#39;s what he makes himself appear to be by publishing that statement. His god is money. He shows the opposite of love by taking that stance; apathy. I have very little respect for any bigwig who has an attitude like that. He may be an influential leader, but his grand-sounding title does not confer intelligence. &lt;br&gt;&lt;br&gt;In the very unlikely event that he will read this comment, then genuinely retracts his statements, and then acts wholeheartedly in line with his retraction, then I would be among the first to congratulate him and to withdraw this comment.</t>
  </si>
  <si>
    <t>Now if we can get automakers in the US to produce electric cars for the masses instead of pricing them for the top 10% of wealthy people, that would be great.</t>
  </si>
  <si>
    <t>Until the &amp;quot;motor industry&amp;quot; acts to adopt ev&amp;#39;s as the majority vehicles, it is the  enginindustry.&lt;br&gt;When ev&amp;#39;s are in the majority it will be the motor industry.&lt;br&gt;Now it is not and should be called by R.Sunak as the Engine Industry.</t>
  </si>
  <si>
    <t>One horrible thing about the electric cars is it&amp;#39;s causing a huge genocide in the Congo that nobody&amp;#39;s paying any attention to.</t>
  </si>
  <si>
    <t>I already have a 13 kwhp solar system installed.  Already have an induction stovetop -which is just amazing compared to gas and electric units.  Next vehicle will be electric. Next water heater will be air source heat pump. Next house AC unit will be an air source heat pump. And need to get a battery backup system installed; and a few more panels too.  Decarbonizing here as quickly as possible.</t>
  </si>
  <si>
    <t>To me it really feels like this is the year the world starts to &lt;b&gt;actually&lt;/b&gt; care about, and put effort into improving our impact on the environment. I hope my feelings are right.</t>
  </si>
  <si>
    <t>Hi. Great content, thanks. The &amp;quot;sand battery&amp;quot; is better called a &amp;quot;recoverable heat sink&amp;quot;, but what a great idea. Not much different to my Grandma&amp;#39;s ancient woodfired Aga cooker that heated up the cast iron and stone surround which then released the heat during the night to keep the whole Robinson mansion nice and cosy. The washing was hoisted up to the ceiling and dried in no time.  (By &amp;quot;mansion&amp;quot;, I mean---nah, never mind.) Cheers, P.R.</t>
  </si>
  <si>
    <t>Hi. If the bath is overflowing, we first turn the taps (faucets) off, then pull the plug out. Carbon dioxide extraction has a part to play, especially if it comes through the &amp;quot;greening&amp;quot; of deserts by water desalination projects. Give nature a helping hand to apply its own remedy. Cheers, P.R.</t>
  </si>
  <si>
    <t>How can i donate to gravicity</t>
  </si>
  <si>
    <t>The way to do NetZero in Africa is international employee ownership that does not require an industrial revolution featuring worker exploitation.</t>
  </si>
  <si>
    <t>I wouldn&amp;#39;t suggest that EV sales are really relevant to the green energy transition at this point. The biggest priority needs to be stopping fossil fuel use as energy. That should come before anything else, and focusing on EV&amp;#39;s instead (as it is being used by policy makers as a way to ignore more urgent fossil fuel issues) is utterly pointless while the energy they use is not renewable. It&amp;#39;s just using fossil fuels in a different way and requires very expensive remodelling of national grids to handle the huge load these cars put on the system..&lt;br&gt;&lt;br&gt;Rather than pumping money into EV&amp;#39;s, trying to create synthetic fuels that can be easily and cheaply manufactured by any countries would solve a huge number of problems, including the carbon emissions from vehicles. But no, let&amp;#39;s just ignore the potential this presents...</t>
  </si>
  <si>
    <t>Allen Car..??</t>
  </si>
  <si>
    <t>in order to reduce our use of fossil fuels we have to use TAXATION and get the cost up so people will be motivated to use LESS!  also Taxing the rich a lot (since they go rich by using the publics natural resources) has to occure since they have the $ to develpe the cleaner alternatives.</t>
  </si>
  <si>
    <t>I am sure that Biden will back off from Green promises he made in the past.  He wants to get reelected and the US public has lost it&amp;#39;s Green appetite since it is too costly on a personal basis.</t>
  </si>
  <si>
    <t>Eco-Socialist&amp;#39;s Yearbook, IEA world energy outlook.&lt;br&gt;&lt;br&gt;Had really difficulties to contain myself and not throw up, so much nonsense, so much &amp;quot;we should&amp;quot; and &amp;quot;we must&amp;quot;, imperatives what to do and what not.&lt;br&gt;&lt;br&gt;Everything wrong here.&lt;br&gt;&lt;br&gt;Electric cars are not good for enviroment, not even close.&lt;br&gt;&lt;br&gt;Heat pumps are the dumpest way to heat a home, especially in the nothern part or the globe, where &amp;quot;the mostly white rich people&amp;quot; live, the first class passengers on the Titanic.&lt;br&gt;&lt;br&gt;Solar makes only sense where is sunny, and only if you can produce them locally. Importing from China doesnt work on the long run. China will collapse as a country soon, in less than 10 years. Already the downturn has started about 5 years ago.&lt;br&gt;&lt;br&gt;Windturbines are the best way to burn money.&lt;br&gt;Wind is not predictable, and without generous government subsidies does not work (profitable means sustainable), nowhere.&lt;br&gt;&lt;br&gt;Nuclear is the only saving grace here. About 20.000 GW needed, just to have a good shot at to allow for 8 B people to live and prosper on this earth.&lt;br&gt;&lt;br&gt;Reducing gas, coal, oil consumption? BS!&lt;br&gt;Never happened in the last 200 years, will never happen, as long as there not better alternatives, which in real world application work (not just in eco-socialist wet dreams), are available right now andwhich must be significantly cheaper (about half the price).&lt;br&gt;Then only then the amount of consumption of gas, coal and oil will go down, because people have better alternatives which are cheaper.&lt;br&gt;&lt;br&gt;Meanwhile, before the 20.000 GW are build and operational,&lt;br&gt;we can and should make the industry and the &amp;quot;burning&amp;quot; power plants emission free.&lt;br&gt;If  hydrocarbons are burned capture the CO2 and water vapor, add some hydrogen to it, and make methanol out of it. But no emissions, no chimneys anymore (at least for industry and power plants).&lt;br&gt;&lt;br&gt;Electric cars? No! &lt;br&gt;Build more railroads and more &amp;quot;walkable cities&amp;quot; instead, and start replacing petrol and diesel with methanol.&lt;br&gt;Heat pumps? No!&lt;br&gt;District heating fueled by waste heat of the industry and power plants. Places witch cannot be covered by district heating, connect with methanol network.&lt;br&gt;&lt;br&gt;Overall implement a circular economy.&lt;br&gt;&lt;br&gt;No</t>
  </si>
  <si>
    <t>All these new green developments are dependent on fossil. Fuels.  We cannot replace 80% of our energy with renewables  by 2050. &lt;br&gt;We have neither the money or the resources  or the personnel. Complications and loss of energy in transitions  will result in waste and  shortages of materials.  We will need 100 nuclear power stations  just to provide 25% of the capacity needed by2050 fullelectrification.</t>
  </si>
  <si>
    <t>This is a load of propaganda rubbish. Here in ukfraud is being used. To underestimate the effect and cost of net zero with no possible  cost benefit analysis. EVsare nowhere near  the required numbers it will take 100 years and heat pumps are the same. There are no plans to provide the  quadruple electricity supply capacity we will need. Specialist manpower and materials will not be available. Producing pie in the sky documents that don’t bear any resemblance to reality  Here in uk they talk of £1 trillion cost but the reality is nearer £10 trillion excluding battery &lt;a href="http://backup.at/"&gt;backup.at&lt;/a&gt; £30 trillion  for our 2050 targets. Poorer countries will stillbe developing fossil fuel generation and the carbon dioxide emissions are going up every year. However fear not as CO2 saturation means there is no emergency or crisis as we could double CO2 to 800 ppm with no real increase in temp. So all this rediculous panic and economic suicide is not required. So get real and get  honest.We don’t need propaganda lies and distortions at great expense. It is all a scam .a bad joke and all a cult to destroy our civilisations based on,propaganda and bad science now out dated.</t>
  </si>
  <si>
    <t>I feel like governments can&amp;#39;t be trusted to make decisions I think it&amp;#39;s up to us citizens to make decisions for the government</t>
  </si>
  <si>
    <t>Why is carbon dioxide so ridiculed.. total carbon dioxide in the atmosphere is 0.04%...3% if this is man made...it proves climate change is a scam ..they Will never brainwash me..</t>
  </si>
  <si>
    <t>Its all about money and power.. climate change is a scam.</t>
  </si>
  <si>
    <t>Well i agree the tools are there. Its now a matter of production rates and economic policy changes that use the stick and carrot correctly. Not as easy as it sounds when said but still true.</t>
  </si>
  <si>
    <t>Go solar, stop eating meat, and chant Hare Krishna.</t>
  </si>
  <si>
    <t>No, because we are installing more solar and wind, therefore the green nuclear is losing to the destructive renewables. Maybe one day, we can fix our energy, but for now, all we have is polluting and damaging coal, gas, wind, and solar.</t>
  </si>
  <si>
    <t>Nice we will add to our SolarPV.TV &amp;amp; SOLAR FUTURE.TODAY platforms</t>
  </si>
  <si>
    <t>Good day.&lt;br&gt;You have a cool animation.&lt;br&gt;In what program did you do it?&lt;br&gt;thanks</t>
  </si>
  <si>
    <t>তহপজৃ</t>
  </si>
  <si>
    <t>&amp;quot;Decarbonization&amp;#39;…reducing CO2…which GREENS the earth…deserts are greening, food production is increasing..plants and trees release moisture,,,creating CLOUDS…cooling the earth…&lt;br&gt;CO2 is a benefit..,decarbonization is harmful…&lt;br&gt;This &amp;#39;green&amp;#39; movement is insane…</t>
  </si>
  <si>
    <t>If there were an actual &amp;quot;climate crisis&amp;quot; happening WE COULD ALL SEE IT.  That only the Marxists demanding SOCIALISM can see this imaginary crisis is the tell.  That it requires cult like devotion is even scarier.   Socialism is the enemy of humanity.</t>
  </si>
  <si>
    <t>The green new deal is a great big lie. Prepare for the end, cause it&amp;#39;s going to happen and soon. Human behavior dictates that a collective &amp;quot;will&amp;quot; to decarbonize or slow growth will never ever happen on our terms. Nature, aka laws of physics, will do it for us. The results will not be pleasant</t>
  </si>
  <si>
    <t>The calculus changes when one finally realizes there is no climate crisis.</t>
  </si>
  <si>
    <t>All well said. This side of the coin isn&amp;#39;t talked about much. Can we do this? Yes, if, and that&amp;#39;s a big if, we can overcome the politics. Good luck with that. It&amp;#39;s concerning, to me, that some countries that appear to be leading in the mining and processing of the minerals and rare earth materials, have a poor record of human rights and dignity. At what cost to humanity do we go green?</t>
  </si>
  <si>
    <t>Real transition is to a low energy style of life.</t>
  </si>
  <si>
    <t>Vegetation was starving for millennia at CO2 200ppm and now we’re giving them 450ppm. They want 1000ppm, but idiots want to take us back to 200ppm or less.</t>
  </si>
  <si>
    <t>This is a brilliant analysis. Ms Lazard is one in a long line of rational thinkers. Her solutions to the world&amp;#39;s problems, like those of her predecessors, are based on logic and reason. Unfortunately, that is not how most humans think. Most humans are selfish and xenophobic, greedy, corrupt - or too oppressed and hungry to think of anything else. Perhaps an even more logical solution than Olivia envisages is a global nuclear war that wipes out , say, two thirds of the world&amp;#39;s population. Hmm?</t>
  </si>
  <si>
    <t>Immediately after stating your unwillingness to politicize this situation you politicized the situation by  inferring Russia invaded Ukraine for resources. That&amp;#39;s a complete nonsense, there were much more important reasons for that if you care to look. Since the Maidan coup of 2014, Russia resisted every effort from the south east and Crimea to annex with Russia, they like everyone else knew of the resources of Ukraine yet resisted.  The Russians had to intervene when the Kiev based regime ramped up their bombing of Ukrainians in Donbas and Luansk where 14 thousand Ukrainians had died since the coup. There is nothing new about nations competing for natural resources either, this is just more of the same and what a lot of us have been saying for an age now but doesn&amp;#39;t justify it, nor change it. Calling out the most corrupt countries you&amp;#39;ve completely passed over the most corrupt. There were more transgressions but time is short. You endanger the message that it will be impossible to continue on the path were on to achieve the goals promoted, with your flawed understanding of geo politics / economics, history AND science. I might add that a year or two of wading through the multidisciplinary sciences involved in global warming first before being so sure we&amp;#39;re all doomed from man made climate change, that would be a bonus. The science is by no means settled and modelling is only as good as it&amp;#39;s initial assumptions....in this case, like with the pandemic, is deplorable. In the meantime all you stand for is a different order in which to re arranging the deck chairs of the Titanic rather than face more urgent needs. A heads up .... it isn&amp;#39;t climate change, it&amp;#39;s the people pushing it, people like you, maybe.</t>
  </si>
  <si>
    <t>Dear Olivia, at the outset you seem to understand the geopolitical situation ( that empowered China Russia,  OPEC etc and caused the current war)    By the end  of your ted you are once again assuming the energy Dictators can  be dictated to and their subjects will accept LESS that costs much much more and delay their progress for decades. Also, the natural resources required for this massive transition do not physically exist in nature, according to Geologists.</t>
  </si>
  <si>
    <t>We  are seeing now that the global south is not excepting to be tyranised now for the third time, nowertimesunder the lable of a green world order. I am happy about that, because its the last hope to get back our almost lost democracy in the west.</t>
  </si>
  <si>
    <t>We have already seen what will happen when supply runs up against significant restraints.  That would be in Europe,  the home of climate change hysteria.  When oil and gas supplies were reduced from Russia,  Europe,  and Germany in particular,  COULD have doubled down on their cheap and abundant renewable power.  And when that wasn&amp;#39;t enough,  done without,  just like 3rd world countries do all the time.&lt;br&gt;&lt;br&gt;Did they do that?  No.  They abandoned climate change hysteria and doubled down on fossil fuels instead.&lt;br&gt;&lt;br&gt;That&amp;#39;s what will happen whenever climate hysteria run up against reality.  &lt;br&gt;&lt;br&gt;Germany was the real acid test ---the country most committed to the climate hysteria agenda.  And no where did so many politicians do such an about face as fast.  &lt;br&gt;&lt;br&gt;Why should it be different anywhere else?</t>
  </si>
  <si>
    <t>Considering that there is no climate emergency makes this whole talk a moot point.  Decarbonization  is not a matter of human survival it is the cause of human extermination.</t>
  </si>
  <si>
    <t>Pretty fair assessment. What she didn’t explain is how green energy is already not affordable in many developing countries. Restricting supply of minerals/metals will only increase cost of green energy. Poor &amp;amp; developing countries need cheap reliable fuel…coal, oil, natural gas. And can be consumed cleanly.</t>
  </si>
  <si>
    <t>I&amp;#39;m afraid &amp;#39;ecological diplomacy&amp;#39; won&amp;#39;t suffice to stop China from allying wiht corrupt and undemocratic regimes the achieve it&amp;#39;s goals.</t>
  </si>
  <si>
    <t>Decarbonization will cause ecological disasters and extreme poverty, hunger and hundreds of millions of people dying, the climate action will destroy the environment. It is a stupid path and only nuclear power offers a viable future.</t>
  </si>
  <si>
    <t>To be honest, “Time will tell” as always. As always, the climate will change, A big comet will hit the earth, men will march of to war, economies will flourish and then crash, people will do good things and people will do bad things. Human nature won’t change. It’s always good to have people like the person in this presentation to share knowledge, analysis and ideas. Good to at least give them a platform like youtube, as other mainstreams do not share these topics objectively and based on real reality. I hope cincerely we will find a good way out of the problems we are facing today. The outcome of it……. time will tell.</t>
  </si>
  <si>
    <t>An big promotion for international bureaucracy</t>
  </si>
  <si>
    <t>Copper?</t>
  </si>
  <si>
    <t>There is no emergency. The polar bears and humans will adapt with this slow change in weather if necessary. CO2 and carbon is not the same. CO2 is critical for good plant growth. New battery technology is transitioning from lithium.</t>
  </si>
  <si>
    <t>The blind spots aren&amp;#39;t just in so called green energy.&lt;br&gt;The benefits of more CO2 in the atmosphere have been completely ignored and negative effects  wildly exaggerated.</t>
  </si>
  <si>
    <t>Russia will be determined to win its War in Ukraine with its high mineral resources</t>
  </si>
  <si>
    <t>I bet my house, that we won&amp;#39;t see a halving of green house gasses by 2030. The Chinese alone are planning and building hundreds of additional coal plants, and they give a wet fart about nature.</t>
  </si>
  <si>
    <t>This is all FUD about change. Yes the transition to RE!00 is/will be challenging, but it is very doable through continued innovation. She&amp;#39;s right on circular models and recycling and that peace is required to get to renewables and renewables are the power of peace (because they can be locally built and owned by each and every country.)&lt;br&gt;&lt;br&gt;She&amp;#39;s right about a few things, but so wrong about many others. She assumes we will continue to be an &amp;quot;extraction&amp;quot; economy rather than, with 90% cheaper and 5X more abundant power, become a &amp;quot;creation&amp;quot; economy that recycles it&amp;#39;s materials. Her view, and many others, are constricted by their view that innovation will not change the material and mineral requirements for renewables to replace fossil fuels. They already have and will do far more. &lt;br&gt;&lt;br&gt;#1 - Tesla&amp;#39;s 4680 battery requires no cobalt (already.)&lt;br&gt;#2 - Lithium will not remain the premier chemistry for EV batteries - iron, air, aluminum, sulphur, graphene, solid state and more are set to replace lithium. &lt;br&gt;#3 - Grid batteries do not require lithium and there are far better, cheaper and more recyclable chemistries and designs.&lt;br&gt;&lt;br&gt;&lt;br&gt;#4 - Materials like high quality graphene, for batteries, can be made from discarded plastic!&lt;br&gt;#5 - Innovation is working on many ways to create and replace rare earth metals and many other materials that are required for decarbonization through electrification.&lt;br&gt;#6 - 90% cheaper and more abundant renewable energy is already making recycling economically viable and that has been it&amp;#39;s main barrier to widespread use since the 1970&amp;#39;s. No one has been able to make money on recycling. That is changing rapidly. &lt;br&gt;&lt;br&gt;She is right that all of this is interrelated, and requires proper policies and laws, but she&amp;#39;s not right on why being about materials.</t>
  </si>
  <si>
    <t>Very good talk ! I love the concept of &amp;quot;Ecological Diplomacy&amp;quot;. Even if we can see that, with dictators like Putin, we are far from seeing such a global behavior leading our international relationships. &lt;br&gt;&lt;br&gt; One thing is obvious. In front of the global warming, the loss of biodiversity, the soils depletion we have to change our direction at 180° ! All our activities need at a moment or another natural resources and energy. Needless to say that we will have less and less energy (the transition will only delay the moment where we will have less external energy available) and less raw materials (we are living in FINITE world). &lt;br&gt;&lt;br&gt;We have known a world with 100% of renewable energies. It was before 1800 and the industrial revolution. In those times we were only 500 millions inhabitants. Life expectancy was around 35 years. &lt;br&gt;&lt;br&gt;Personnaly I don&amp;#39;t want to go back to those ages, but we will have to renounce to many many many things !</t>
  </si>
  <si>
    <t>So, all we need to do is change human behavior on a global scale?  No problem.  Seriously, while I agree with Ms. Lazard, I don&amp;#39;t see the major players, particularly China, going along with the suggested approach. For example, making decisions on usage and sourcing based on global needs sounds great, until we tell a desperately poor country that they can&amp;#39;t mine and sell their resources because of the impact on the rest of the planet.  Look how badly that has gone in the Amazon rain forest.  It continues to be clear cut for agricultural use.  Where is the rest of the world in helping them find alternative ways to grow their economy?  Here in America we have half the country who refuses to even admit there is a problem.  We still drive big SUVs and complain about gas prices, when there are alternatives that could cut our fuel usage in half and cost less to operate.  We continue to destroy the environment as a form of political theater.  I am afraid that the best we can hope for is two steps forward for every step back.</t>
  </si>
  <si>
    <t>Never listen alarmists even if they sound trustworthy. They will influence the future in a negative way by what we belive.</t>
  </si>
  <si>
    <t>Rooftop solar PV differs from &lt;br&gt;&lt;br&gt;No structure costs to support panels above the ground. &lt;br&gt;No foundation costs.&lt;br&gt;No transmission costs.&lt;br&gt;No storage costs, (free battery with the EV). Parked 23hrs every day. &lt;br&gt;Rooftop PV installed costs are cheaper than windows $/m2 in Australia. &lt;br&gt;&lt;br&gt;UNLOADED the grid does not transmit electricity to millions and millions of ends on the existing national transmission grid. &lt;br&gt;The grid is protected. &lt;br&gt;&lt;br&gt;Trickle charging, discharge in the millions and millions. &lt;br&gt;Rapid charging on main roads and at corner stores. &lt;br&gt;&lt;br&gt;The NO TRANSMISSION COSTS is the monster economic advantage. &lt;br&gt;_xD83D__xDE0A__xD83D__xDE0A__xD83D__xDE0A__xD83D__xDE0A__xD83D__xDE0A__xD83D__xDE0A__xD83D__xDE0A__xD83D__xDE0A__xD83D__xDE0A__xD83D__xDE0A__xD83D__xDE0A__xD83D__xDE0A_&lt;br&gt;&lt;br&gt;Grids cost millions $/klm × millions  klm. = $TRILLIONS and $TRILLIONS&lt;br&gt; in a no fossil fueled world.&lt;br&gt;&lt;br&gt;Central generation or distant generation, that has to generate 5 times more electricity and transmit the massive amounts of electricity.  &lt;br&gt;5 times bigger grid capacity. &lt;br&gt;&lt;br&gt;80% of the world&amp;#39;s population is in warm latitudes.&lt;br&gt;&lt;br&gt;These are the technologies that are evolving rapidly and the minerals will have decades of demand. &lt;br&gt;&lt;br&gt;Recycling technologies are rapidly evolving to recover raw materials.</t>
  </si>
  <si>
    <t>9billion people on the planet and 80% of the world&amp;#39;s population is in dictatorships. &lt;br&gt;&lt;br&gt;Shipping millions of tonnes of uranium yellowcake to the world&amp;#39;s nuclear industries to stop fossil fueled CO2 emissions sounds dangerous. &lt;br&gt;&lt;br&gt;The USA military defence budgets will explode, so that is extra costs on the nuclear solution.</t>
  </si>
  <si>
    <t>The national electrical grid is the same cost as the country&amp;#39;s GDP. &lt;br&gt;million klm × millions $/klm &lt;br&gt;= $TRILLIONS and more.&lt;br&gt;&lt;br&gt;No fossil fuels then 5 TIMES more electricity in the grid, which now has to be 5 TIMES bigger capacity. &lt;br&gt;&lt;br&gt;5 TIMES  the national GOP to be spent, plus the decades and decades and more CO2 emissions to get the raw minerals into the new and bigger national grid to millions of homes and buildings.&lt;br&gt;&lt;br&gt;Nobody does the engineering economics. &lt;br&gt;It is impossible to go nuclear and fill the existing national grid with nuclear electricity and then electrify  the rest of the nation. &lt;br&gt;&lt;br&gt;Your a smart man, just think a little more. &lt;br&gt;Many promoters are ignoring this grid economic &amp;quot;elephant in the room.&amp;quot;&lt;br&gt;&lt;br&gt;&lt;br&gt;Anything with out more grid capacity is stupendously cheaper if we can keep the existing grid unloaded. &lt;br&gt;&lt;br&gt;Rooftop solar PV at the millions and millions and millions of grid ends at the homes and buildings and an EV with the V2G selfplug-in feature. The big EV battery is free with every vehicle. &lt;br&gt;&lt;br&gt;Most vehicles are parked 23hrs every day. &lt;br&gt;&lt;br&gt;&lt;br&gt;Happy to talk more.</t>
  </si>
  <si>
    <t>Forget greenfield renewable construction  it also needs a national electrical grid expansion. &lt;br&gt;&lt;br&gt;Use millions and millions and millions of rooftops, all grid connected today.&lt;br&gt;&lt;br&gt;Most vehicles are parked 23hrs every day. &lt;br&gt;&lt;br&gt;Electric vehicles with &amp;#39;vehicle 2 grid&amp;#39;  and selfparking plugin can park next to a simple wall power point and do the &amp;#39;home robotic vacuum cleaner plugin&amp;#39;. Ezi pezi _xD83D__xDE0A__xD83D__xDE0A__xD83D__xDE0A__xD83D__xDE0A__xD83D__xDE0A_&lt;br&gt;&lt;br&gt;Solar PV panels on roofs have no greenfield infrastructure costs. &lt;br&gt;No grid expansion costs. &lt;br&gt;75% of buildings use the grid electricity.</t>
  </si>
  <si>
    <t>SMRs, Small modular reactors, main feature is that they are &amp;#39;in economic bite size&amp;#39; for wealthy to &amp;#39;park their money in&amp;#39;.&lt;br&gt;&lt;br&gt;Like super expensive new apartments in new super tall buildings in nyny.&lt;br&gt;Many apartments have been bought and are unused. Economic bite sized for the extremely wealthy. &lt;br&gt;&lt;br&gt;The nuclear reactors, come with government Garrentees for 100years. &lt;br&gt;Government disaster insurance &lt;br&gt;Government cashflow guarantees &lt;br&gt;Government supplied national grid &lt;br&gt;National grid oversupplied with privately owned nuclear electricity. &lt;br&gt;When a $2billion fails safely you have to buy another $2billion SMR.&lt;br&gt;You have to calm the neighbour&amp;#39;s stress.&lt;br&gt;&lt;br&gt;To stop petroleum imports and fill Electric vehicles big batteries. EV big batteries. &lt;br&gt;20million vehicles in Australia. &lt;br&gt;&lt;br&gt;Stopping CO2 proliferation is the point, yes ???</t>
  </si>
  <si>
    <t>Just pulled together something that people are now starting to think about. &lt;br&gt;&lt;br&gt;Horse meat was cheap when the Ford model T production line started. 1908. &lt;br&gt;&lt;br&gt;Many people can be locked into the old ways and be slow to  see the full benefits. The horse industry shrank rapidly. &lt;br&gt;&lt;br&gt;All the problems of too many horses in the city were removed with the removal of the horse.&lt;br&gt;The horse is wonderful but the increasing problems made the new transport easier and cheaper. &lt;br&gt;&lt;br&gt;For 100 years, the technology evolved to the Ford model T. And continued to evolve. &lt;br&gt;&lt;br&gt;Home lighting with electricity from a central generator and the electricity transmission grid into the home was the end of candles and oil lamps and gas lighting. &lt;br&gt;Naked flames are wonderful, but the new energy transported into the homes was cleaner and easier, and although expensive, it was convenient and clean. &lt;br&gt;&lt;br&gt;But fossil fuels have a VERY HIGH ENERGY DENSITY and so are cheap even if transported huge distances. &lt;br&gt;Millions of customers also drive from their home to fill up. &lt;br&gt;&lt;br&gt;Fossil fueled climate change has focused on clean electricity.&lt;br&gt;Nuclear promoters point to the mass generation capacity in the middle of cities. &lt;br&gt;&lt;br&gt;Electric vehicles, EV promoters point to the mass need of clean electricity. &lt;br&gt;Vehicle battery manufacturers are rapidly evolving the new battery technologies. &lt;br&gt;To provide the longest drive, but most vehicles are PARKED 23hrs every day.&lt;br&gt;Robotic vacuum cleaners and robotic lawn mowers selfplug-in recharging.&lt;br&gt;Heat pump manufacturers promoting AC home heating and cooling and hotwater units. &lt;br&gt;&lt;br&gt;No fossil fuels means 5 TIMES more clean, reliable electricity, at the most demanding of times. To replace the abundant fossil fuels. &lt;br&gt;&lt;br&gt;Australian research has developed the most efficient solar PV panels, and with the Chinese, they have evolved the most inexpensive manufacturing technology.&lt;br&gt;Installed rooftop solar PV in Australia is cheaper than windows $/m2. &lt;br&gt;Only a small part of a roof is needed. &lt;br&gt;Australian research is also developing even cheaper solar PV technologies. &lt;br&gt;&lt;br&gt;80%of the world&amp;#39;s population is in warm latitudes, the lower latitudes. &lt;br&gt;The higher latitudes still have many days every year of good useful days. &lt;br&gt;The bad days are a problem, and the use of some fossil fuels as necessary would ok and be insignificant. &lt;br&gt;&lt;br&gt;Most fossil fuels will be in strategic war fighting storage, also available for national emergencies. &lt;br&gt;&lt;br&gt;The combination of huge electricity demand at the billions of grid ends in the streets and homes and businesses and the planned massive increase in the size of the new grid from new central generation will cause an economic battle. &lt;br&gt;&lt;br&gt;NEW GRID CAPACITY IS INCREDIBLY EXPENSIVE. Way more expensive than all centralised electricity generation. &lt;br&gt;&lt;br&gt;All the customers who have learned that a few m2 of roof space all day and their EVs V2G all night means that they do not need very much grid electricity. &lt;br&gt;&lt;br&gt;Some will go off grid completely and just rely on their 2nd hand EV selfplugged-in to their home 23hrs every day. &lt;br&gt;&lt;br&gt;Governments will have to decide &lt;br&gt;Subsidise private grid expansion and generation&lt;br&gt;And write government regulations, making it illegal to abandon the national grid. &lt;br&gt;And increase taxes. &lt;br&gt;&lt;br&gt;Or keep the existing national grid and all the customers connected and allow rooftop solar PV with every EV with V2G that selfplug-in to the grid when it is parked. &lt;br&gt;&lt;br&gt;Work car park space with low fixed wall power point for trickle charge or even trading electricity with the grid. Shopping centres the same.&lt;br&gt;Front in parking and low fixed power point and trickle discharge or charging. &lt;br&gt;&lt;br&gt;Rapid chargers will be on the main roads and at corner stores. &lt;br&gt;&lt;br&gt;No more additional grid costs.&lt;br&gt;This is a massive economic advantage. &lt;br&gt;The existing national grid will continue as is and be protected from load fluctuations and stability problems.&lt;br&gt;The existing national grid will be UNLOADED and more robust and &amp;#39;smarter&amp;#39;.&lt;br&gt;The existing national grid will be the connection grid and not so much the TRANSMISSION grid. &lt;br&gt;&lt;br&gt;This is a dirt cheap solution. &lt;br&gt;In a warmer climate, more energy will be in the atmosphere, which may be a useful advantage. &lt;br&gt;&lt;br&gt;The national grid is the &amp;#39;elephant in the room&amp;#39;.&lt;br&gt;Economically.</t>
  </si>
  <si>
    <t>What costs more the roads or the vehicles?&lt;br&gt;What costs more the national power grid or the generator?&lt;br&gt;In all electric world, no fossil fuels, then 5 times more electricity is needed everywhere. &lt;br&gt;10 times more cost in the national grid for each generation plant.&lt;br&gt;&lt;br&gt;So 50 times more spend than today&amp;#39;s centralised concentrated electrical generation.&lt;br&gt;50 times more raw materials.&lt;br&gt;50 times more.......</t>
  </si>
  <si>
    <t>Great speech with great breadth of considerations. My only gripe is….ok two gripes. One, is the maths are way off if you take her numbers into consideration. And second and more fundamentally, the ‘need’ for the ‘green transition’ and the approach to it are dubious. Do we need to take care of the planet YES. Is going electric going to do it. NO.</t>
  </si>
  <si>
    <t>Interesting discussion. It is clear that there sill be an upheaval in power dynamics due to the supply/demand of minerals necessary for electrification, especially of transportation. One bright spot on the horizon is the promise that use of hydrogen for transportation propulsion brings. While challenges remain, hydrogen will help mitigate some of the future difficulties of mineral extraction and processing. As for the 4 proposed steps that were laid out as necessary for a smooth transition, I would be more hopeful. Science may identify what mining locations would be preferable and what locations would  not be, but science and current world organizations are powerless and will remain powerless to stop development of less preferable areas. Countries with mineral resources will develop those resources regardless of the determinations of supra-national organizations, and I offer two proofs: first, the UN was unable to stop Russia even though Russia ignored the UN articles that govern sovereigny; second, forrest clearning continues in the Amazon in Brazil and other countries, regardless of the workd&amp;#39;s warnings against deforestation. Knowing what should and should not be done withers when people at the local level make decisions that allow them o eat and make a livelihood. I am wary of plans developed by idealists in think tanks.</t>
  </si>
  <si>
    <t>It&amp;#39;s amazing how easy it has been to convince seemingly sentient individual that less CO2 in the atmosphere will make the planet greener.    Please review your grade school science book, the chapter on plants and photosynthesis.</t>
  </si>
  <si>
    <t>She develops the theory that we all have to work together to solve the CO2 problem.  The trouble is we, the world, will not work together to solve this made up problem.  Just look at China and India - they are working for the betterment of their nations and their people.  The are using fossil fuels to build their economies.  I believe the USA thru the Inflation Reduction Act committed $400 billion towards reducing CO2.  This is a drop in the bucket when you extrapolate where we are and the costs.  &lt;br&gt;&lt;br&gt;$400 billion dollars would be better spent building nuclear power plants.   This would solve many of the problems that this lady discusses.</t>
  </si>
  <si>
    <t>If you build 1,000 wind turbines and use the power generated to build wind turbines, you would not be able to produce another 1,000 wind turbines before the first batch broke. Therefore, they are not green at al, just a leach on the precious oil supplies. The same goes for solar panels,. They do not save the planet, rather they pollute it even more.</t>
  </si>
  <si>
    <t>All the more reason the US needs NUCLEAR (clean, safe and we already mine/enrich what we need)</t>
  </si>
  <si>
    <t>EU 98% DEPENDANT on CHINA That is not something I would be pushing for</t>
  </si>
  <si>
    <t>decarbonization ? more CO2 every year.. 2023. show the graph of decab, please. We use more to make solar, windmills, ev, airco,.. nuc plant.. all these activities kill animals  (human).. all wars about resources. Who have the most weapons, use more oil. please tell decab to these people. science misused. good region is not defined in un. good intention</t>
  </si>
  <si>
    <t>You got so close to getting it right, but in the end fall back on the very economic and technological &lt;b&gt;beliefs&lt;/b&gt; that got us here.&lt;br&gt;&lt;br&gt;Sigh...&lt;br&gt;&lt;br&gt;Put your plan on hold; it&amp;#39;s got serious flaws. &lt;br&gt;&lt;br&gt;More later...</t>
  </si>
  <si>
    <t>Worst. Hydrogen Would made a true green-house efect much more than CO2, on the atmosphere of this planet.&lt;br&gt;&lt;br&gt;The key are the mass of H2O and CO2 molecules.&lt;br&gt;&lt;br&gt;Let us look why.&lt;br&gt;&lt;br&gt;¿How do you get Hydrogen?, from water, H2O molecules on liquid phase.&lt;br&gt;&lt;br&gt;¿What is getting out of the factory when you make Hydrogen Gas?, Oxygen, in Gas Form (O2 molecules). They go to atmosphere.&lt;br&gt;&lt;br&gt;¿And what happens in the continental conductions of Hydrogen, where this gas would scape?, H2 molecules go to atmosphere, and there, link to O2 oxygen, and make H2O molecules, and one Oxygen gets free, increasing the O2 on our atmosphere, but, the worst, increasing the H2O Gas on our atmosphere,,,,,,,,, And H2O is a BIG green-house efect gas, not like CO2, H2O really send Infrareed photons to surface.&lt;br&gt;&lt;br&gt;¿And what gets out of engines (whether thermal engines, or fuel-cell engines) to atmosphere?,,,,,H2O molecules on Gas phase.&lt;br&gt;&lt;i&gt;_____________________________________________________________________________________&lt;/i&gt;&lt;br&gt;In the end, all over the planet, thousands of tons of water in liquid state, will end up as thousands of tons in gaseous state (Energy that is taken from the electric grid, which should give that phase change energy, plus the generated electric energy, plus the transport losses, plus ,,,,), ,,,,,,,&lt;br&gt;&lt;br&gt;And we will have thousands, hundreds of thousands, of tons of HIGH greenhouse gas, H2O, which before was in liquid form in the sea, and now will be in gaseous form in the atmosphere.&lt;br&gt;&lt;br&gt;And this would increase each year,  more and more full of H2O -Gas. A nice Green-house planet,,,,,,,, &lt;br&gt;-----------------------------------------------------------------------------------------------------------------------------------&lt;br&gt;A gas, which DOES bend the infrared photons towards the surface of our planet, because it weight less (18 au) than others on atmosphere (N2, 28 au of mass, or O2, 32 au).  ( &amp;#39;au &amp;#39; is atomic unity of mass, the mass of Hydrogen Atom).&lt;br&gt;&lt;br&gt;A Gas (H2O) who DOES bend the infrared photons towards the surface of our planet, not like the CO2 does, because it  weight more (44 au of mass) than others on atmosphere (N2, or O2). So, CO2 never increase its density with altitude, so, never made a layer of decreasing refraction index, so,,,,, CO2 , on this kind of atmosphere, send infrared photons, to space.&lt;br&gt;&lt;br&gt;H2O, send, on this atmosphere, infrared photons,,,, to surface, a true green-house efect.&lt;br&gt;&lt;br&gt;The only way to get not this damage, is using the Hydrogen of the atmosphere, from H2O on gas-phase on atmosphere.&lt;br&gt;&lt;br&gt;I do not know the economy of this, but I guest take H2O from atmosphere, condense it, electrolisis it,,,,, should be more expensive.&lt;br&gt;&lt;br&gt;As a Spanish saying goes, we didn&amp;#39;t need those saddlebags to make this trip with this donkey.&lt;br&gt;&lt;br&gt;,,,,,,, Does Ursula von der leeee know what a thing called an atom is? ,,,,,,,&lt;br&gt;&lt;br&gt;I do not know who the donkey is    _xD83E__xDD23__xD83E__xDD23__xD83E__xDD23__xD83E__xDD23__xD83E__xDD23__xD83E__xDD23__xD83E__xDD23__xD83E__xDD23_,,,,</t>
  </si>
  <si>
    <t>Carbon fuel. Hydrogen and nuclear power. Dont mine.its not green. Electric cars are not green. Dirty battery&amp;#39;s.</t>
  </si>
  <si>
    <t>More European theft and begging for resources so Europeans can continue to steal from the rest of the world .. No more ... European colonialism must finally end.</t>
  </si>
  <si>
    <t>This was a great geopolitical speech on globalization and control i.e. E.S.G. So I have a good understanding on the plan for controlling our our money,&lt;br&gt;But to me, it’s putting the cart before the horse. &lt;br&gt;&lt;br&gt;Show us the plan for zero carbon electricity for every country. What about zero carbon mining equipment for all these rare minerals not to mention, zero carbon trains, planes, and automobiles, tractors, semi trucks. &lt;br&gt;  &lt;br&gt;But there’s no plan there never was one, they want to control the people and their money first and they’ll keep scaring everybody until their plan doesn’t work. &lt;br&gt;&lt;br&gt;Unfortunately, it won’t be in my lifetime, but one day the real science will show that CO2 it’s not some big giant gas thermostat that is controlling the world temperature, weather patterns, sea level. &lt;br&gt;&lt;br&gt;Our only hope the government also funds the science that are not allowed to show their work because it doesn’t align with IPCC. And lift the restraints on innovators in the free market.</t>
  </si>
  <si>
    <t>One needs to remember Einstein&amp;#39;s theory on the conservation of energy. Energy cannot be created or destroyed, only changed from one form to another. This is very true, and we must realize what the results of this transfromation will be. We may have negative effects from the use of fossil fuels, but we will also have negative effects from the use of renewables. It will take centuries to see these effects, good luck on this utopian dream.</t>
  </si>
  <si>
    <t>Not a single mention of nuclear.  And I heard nothing on when groups will act in their own self interests at the expense of other groups, how - specifically - you propose to curb that.  Weak.</t>
  </si>
  <si>
    <t>What you want ain&amp;#39;t going to happen.</t>
  </si>
  <si>
    <t>Battery chemistries are not fixed.  You can drive the cobalt content down substantially.  Lithium processing can be done in the US. And permanent magnets can be made with much less rare earths.  It’s already happening.  This woman is the Paul Ehrlich of climate policy.</t>
  </si>
  <si>
    <t>Sounds like it damned-if-you-do&lt;br&gt;Damned-if-you-don&amp;#39;t&lt;br&gt;_xD83D__xDE22_</t>
  </si>
  <si>
    <t>Green has turned radical BLUE!</t>
  </si>
  <si>
    <t>&amp;quot;Global Public Good Regime&amp;quot; - how naïve it is...</t>
  </si>
  <si>
    <t>The reality is that the energy transition need to go through 3 phases.  1 - modest growth in non-fossil fuel energy along side fossil fuel energy, 2- once sufficient electrical energy is available to meet current needs plus new demand (especially from EVs), then continued growth of non-fossil energy and decline in non-fossil fuels.  3 - Massive uptake of low metal intensity energy and energy storage solutions in fuel (not yet in existence)  and cessation of non-fossil fuels. &lt;br&gt;This will not take a single decade but more like 50 years or more.</t>
  </si>
  <si>
    <t>&amp;quot;Decarbonization is our future.  Not a single doubt allowed about this.&amp;quot;  That&amp;#39;s not science that&amp;#39;s dogma.   Carbon is not our enemy.  Diversification of energy sources is the workable way forward.  If there&amp;#39;s anything we need to resolve it&amp;#39;s EMR (electro-magnetic radiation) pollution which is most harmful to the environment.</t>
  </si>
  <si>
    <t>Where is the goose that laid the egg sown at &lt;a href="https://www.youtube.com/watch?v=za6dE5JrNB0&amp;amp;t=2m30s"&gt;2:30&lt;/a&gt;</t>
  </si>
  <si>
    <t>I&amp;#39;ve been an advocate for &amp;quot;green&amp;quot; energy since the 70s. A problem is coupling the output of renewable energy to the input of material sourcing and manufacturing and waste reclamation. Another problem is current tech doesn&amp;#39;t really scale. We need new tech.&lt;br&gt;&lt;br&gt;As to the global distribution of power, quit being a lefty. Government has always done the bidding of finance. Finance is not centered geographically.  It is already distributed. The wealthy elite are hand in glove, and the big problems that face us are them fighting among themselves for larger shares of the pie. &lt;br&gt;&lt;br&gt;I lived in West Texas for two decades. I have witnessed the transition from oil and gas to renewable. The corporations controlling and benefiting from renewables are the same corporations who controlled and benefitted from oil and gas.</t>
  </si>
  <si>
    <t>Where was the &amp;#39;blind spot?&amp;#39;&lt;br&gt;Not like these issues aren&amp;#39;t known or attempts aren&amp;#39;t being made to alleviate (or, preferably, eliminate) them.&lt;br&gt;Doing nothing is a choice, and likely a fatal one...</t>
  </si>
  <si>
    <t>It’s amazing that someone so connected to the status quo, can only see the future in terms of the past.  There’s zero chance that the global power structure can/will allow sovereign governments to restrict the supply of critical materials without war.  The great African tribesman said, “…he who has salt, also has war”. &lt;br&gt;&lt;br&gt;Here’s an idea worth spreading, “ let’s eliminate the need for energy… by design”!!!</t>
  </si>
  <si>
    <t>Life as we know will end soon. &lt;br&gt;Enjoy your delusion.</t>
  </si>
  <si>
    <t>History is a cycle of civilizations coming &amp;amp; going. &lt;br&gt;Ours is the next to go. &lt;br&gt;Too many problems from money to energy and more.</t>
  </si>
  <si>
    <t>very great insights. thanks for video.</t>
  </si>
  <si>
    <t>very critical facts.</t>
  </si>
  <si>
    <t>And that is why we need a new format of relations - Creative Society instead of the consumerist approach</t>
  </si>
  <si>
    <t>She demonstrates a number of additional huge blind spots herself: First, if you quantify the mineral and infrastructure needs required to follow a radical &amp;quot;green&amp;quot; energy strategy we have nowhere near the mineral capacity to meet the need for solar, wind, and battery technology even with massive increases in extraction so severe global conflict for resources is inevitable. Since China has such a huge monopoly on the needed resources, and are a totalitarian regime with the goal of world domination, this bodes poorly for worldwide human rights. Countries that resist or support human rights will be crushed and starved of hi tech resources to run their energy sector. Second blindspot:  she makes no mention of nuclear energy as an eventual energy component - it is the only technology that scales to meet future energy needs, especially if you recognize the legitimate needs of developing countries, and is much less dependent on the rare earth minerals required for solar and battery tech. Liquid salt reactors are much safer for the environment, and much safer in general compared to legacy nuclear technology. Third blindspot: a global regime that manages mineral extraction is a fantasy - it will be China who calls the shots, to everyone&amp;#39;s detriment.  Lastly, the whole transition situation is exacerbated by the false urgency of the phony climate crisis. If we allow a reasonable timeframe e.g.100 years, to make the transition to new energy sources including nuclear, we can do an orderly transition and avoid massive conflict. We have the fossil fuel reserves to get us through that kind of transition, and by doing so avoid the artificial mineral and energy scarcities that will drive global war. Because in fact he rate of climate change is slow (look at the numbers) it does not justify this panicked green response.Even if we were able to make this massive shift to renewable energy, it would have a negligible impact on current warming trends (again look at the quantitative data).  If we follow the climate crisis delusion we are inflicting a massive unforced error on the planet and human population. IT DOES NOT HAVE TO BE THIS WAY.. Instead slow the energy transition, allow time for the development of a nuclear/solar/wind solution, build out a resilient global power grid, reap the benefits of global warming (a much greener planet, higher crop yields, warmer winters, more rainfall) and avoid a massive mineral resource crisis that would lead to ecological disaster and worldwide war and human rights abuse.</t>
  </si>
  <si>
    <t>No mention of the the biggest &amp;quot;blind spot&amp;quot; of all -- overpopulation!</t>
  </si>
  <si>
    <t>Her talk gives obvious reasons why the long term shift to EVs ain&amp;#39;t gonna happen...Hundreds of millions of cars, trucks, tractors, ships, heavy machinery and trains worldwide that already run on fossil fuels are not gonna be replaced by electric vehicles.  It won&amp;#39;t happen because of simple economics... In fact, sometime in the next 20 years all the Teslas ever built will either be decomposing in junkyards or have been scrapped for materials. I know this is hard for many of you people to understand but oil is here to stay until the oil powered system becomes more expensive than an electric system. This is reality....Why do you think Buffet is buying Occidental Petroleum Stock and not Tesla Stock?  He knows there&amp;#39;s no real future in EVs</t>
  </si>
  <si>
    <t>The conundrum is evaporated instantly when true science is finally deployed to prove that rise in CO2 does not raise global temperatures over long geological cycles and the only requirement for a “Green” future is focus on eliminating real pollution which CO2 in itself is not, but rather an essential molecule to sustain vegetation, without which all that depends on it on the Planet WILL die. &lt;br&gt;THAT is the real blind spot.</t>
  </si>
  <si>
    <t>Climate change is climate change, not climate disaster.  I applaud Olivia&amp;#39;s addressing the mineral and mining aspects of the green transition, as it is called, but take issue with her numbers as to the amounts of these materials needed.  In some instances, important instances, the increase will be closer to seven thousand percent increase.  &lt;br&gt;&lt;br&gt;China will not be able to handle the processing of these materials indefinitely, either.  We all know of course that their demographics are atrocious but it is the details of that demographic collapse which are most alarming: of the more than 100 million people that China over counted and which they have admitted to recently, ALL of them would have been aged forty and under.  This means that China is running rapidly out of consumers and workers.  The countryside is stripped bare of new populations because of the great migration of the last thirty years so they cannot simply call up new workers from the hinterlands any more.  China has 1.3 billion old people.  That is something of an exaggeration but it conveys the point.  Humans do not have an economic model to predict what happens when a population of that size ages into oblivion while carrying the weight of so much of the world&amp;#39;s low and mid level manufacturing.  It is a train wreck of mammoth size in slow motion.  Get some popcorn.&lt;br&gt;&lt;br&gt;The green transition will not take place in anything like the time frames bandied about by climate alarmists.  The most fundamental reason is that the technology to do it at scale is not only not in the prototype stage, it is that the technology simply does not exist on any scale, even experimental.  Olivia points out one area of the most glaring obstacle to &amp;quot;clean&amp;quot; energy: you have to have a lot of stuff, that stuff comes from a lot of places that do not have stable governance, is processed in a place that is approaching a cliff in terms of its existential future.  Geopolitical future?  Very few developed nations have any.  France has a future as the center of Europe (less the Nordic states) and has a stable demography.  Sweden has a stable demography.  New Zealand has a stable demography.  And the United States has a stable demography.  That&amp;#39;s it.  That&amp;#39;s all of us. The green transition is about to be subsumed into a fragmenting global picture in which China, India, the Arab states and a few others will attempt to create a shared hegemony independent of the United States and Europe not out of any hatred, but out of recognition of the fact that the U.S. Navy is no longer guaranteeing their safety on the high seas and that they are vulnerable to sanctions as well.  It is an ill fated coalition.  The U.S. has pulled the plug on China and they&amp;#39;re going away despite what you see in their propaganda.  &lt;br&gt;&lt;br&gt;Europe is going away as a union.  The EU will not survive the next ten years as we now know it.  Germany&amp;#39;s manufacturing base was fatally wounded in the destruction of Nordstream.  France continues doing the weird things France does.  Great Britain still hasn&amp;#39;t figured out what a post Brexit world looks like from their perspective, and will consequently likely end up as a junior partner in NAFTA II.  &lt;br&gt;&lt;br&gt;South America will have to figure out what they want to look like.  China has been investing heavily in soft power in that region but we already know that China&amp;#39;s days are numbered.  They are beyond help. It&amp;#39;s a matter of whether South American nations individually want to hitch their wagon to a dying authoritarian state or a liberal democracy.&lt;br&gt;&lt;br&gt;That leaves North America.  We are broadly immune to the pressures of energy and food insecurity.  We have vast resources, more internal navigable waterways than the rest of the world combined, far more arable land than we really know what to do with, and plenty of fertilizer to avoid the massive famine that will stalk parts of South America, the Middle East, and much of Asia in the coming few years.&lt;br&gt;&lt;br&gt;Green transition?  We don&amp;#39;t really have time for that stuff right now.  Spend the next decade developing the technology that can be used at scale and when this massive storm has passed, we can talk.  Until then, take a number and take a seat because there are much bigger problems on the horizon.</t>
  </si>
  <si>
    <t>Burlington Vermont only has 44k people. If you REALLY want to see what high penetration renewables looks like,  study South Australia. They&amp;#39;re the hightest wind and solar per capita in a larger city in the world</t>
  </si>
  <si>
    <t>I agree with all her geopolitical concerns about unintended consequences IF we continue to try building EV&amp;#39;s that rely on cobalt etc, but the reality is the world is moving away from rare earth&amp;#39;s due to price - and EV&amp;#39;s now can use LFP, sodium, and are working towards aluminium-graphene (or probably aluminium-hemp!) or aluminium-sulfur. These resources are SUPER-abundant. She needs to revisit her primary assumptions about renewable technology.</t>
  </si>
  <si>
    <t>&amp;quot;European Union relies on China for 98% of its rare earth metals.&amp;quot; Yikes</t>
  </si>
  <si>
    <t>Very telling about the actual plans for globalization and the Big Reset from the perspective of the Green movement/perspective, once you translate the nice phrases on the final slides into plain English. One important thing that was not mentioned directly but implied is an abrupt reduction in population as the most effective approach to decrease pressure on energy demand, supply chains, etc.</t>
  </si>
  <si>
    <t>We measure a well know technology that has been around for more than 100 years with a new one that hit the market just 10-15 years ago and has a rapid evolution no where close to the existing one. We already have launched batteries that don&amp;#39;t need most of materials mentioned and others that are 99.9% recyclable and don&amp;#39;t even need earth mining the Sodium ion battery already in production. It all comes to what our goal is the solutions are already in market the whole point is if we want huge profits or a bright future.</t>
  </si>
  <si>
    <t>We need more carbon (plant food) not less.  What we need is energy.  Decarbonization has nothing to do with it.  Of the 16 minerals needed for alternative non-oil energy, it will take hundreds of years of oil (mining and transportation) intensive extraction to get those 16 minerals - an impossibility.  The Green Future is physically impossible.  CO2 is an insignificant greenhouse gas (0.04% of the atmosphere) being used as a red herring to misdirect so the power players can have their way.  95% of the five greenhouse gasses are water vapor (clouds).  They don&amp;#39;t tell you that because it&amp;#39;s not human-caused, so they can&amp;#39;t manipulate your behavior with fear. &lt;br&gt;&lt;br&gt;CO2 has historically been from 200 PPM to 8000 PPM.  CO2 is now at 415 PPM.  It becomes toxic at 45,000 PPM.  Furthermore, CO2 and warming have zero correlation.  But warming, which is very minor and not a problem - is a net benefit to life and plants (food).  We need more warming and more CO2 (the real green revolution) but neither can be controlled by the special interests, so they lie to you.  Kinda like pharma saying there are no cures for any disease so they can push their patented drugs that do not work (but are always highly profitable).</t>
  </si>
  <si>
    <t>We should be spending intellect building super efficient engines that we can share with the world so that the world can be pollute less at a global level.</t>
  </si>
  <si>
    <t>I disagree with the basic premise. Fossil fuels also go by the name mineral fuels. So no, future is not more mineral intensive.</t>
  </si>
  <si>
    <t>Always looking to get more. Never looking to use less.</t>
  </si>
  <si>
    <t>Solution could be an independant AI goverment that takes all these factors into consideration and to which all humanity listens. An AI king for the planet that could tell us what to do to live better without falling victim of independant national interests. I think that&amp;#39;s the next evolutionary step for humanity.</t>
  </si>
  <si>
    <t>I wonder if she realized that she just advocated for the idea of resource based economy, an idea, which was popularized about more than a decade ago by humble film maker called Peter Joseph. I for one, ever since then, convinced that this is the plan that makes sense, and most probably works. It may very well could be the only way out from our predicament.</t>
  </si>
  <si>
    <t>Some very good points. I will say that we will may jump from the frying pan into the fire if we are looking to some huge global organization to help us through these issues. Science? If we are speaking of actual science where dissenting opinions are welcomed and debated. Then we can look to science for guidance. She mentioned concerning decarbonization at about the &lt;a href="https://www.youtube.com/watch?v=za6dE5JrNB0&amp;amp;t=13m00s"&gt;13:00&lt;/a&gt; frame that &amp;quot;there is not single doubt allowed about this&amp;quot;. Allowed by Who? Does science allow things to become facts or are they just facts. Who determines &amp;quot;Global Public Good&amp;quot;? Innovation comes from people who are allowed to pursue ideas and put them into practical and useful forms. Bureaucracies have never been successful at innovation. If they were the Soviet Union would be the sole world power. She brings up some good points that we need to consider. We also need to recognize, if the world is not careful we will hand China the reins of energy that will usher in what could be the darkest age of human history. We are playing for keeps here. We can be reminded of the words of Plato, &amp;quot;Only the dead have seen the end of war&amp;quot;.</t>
  </si>
  <si>
    <t>Human beings can not destroy the earth or do anything to change it drastically. The earth has been warning since the last ice age. It’s what she does. There’s been multiple known ice ages in its history, without human involvement. Volcanic activity, even if it’s not explosive, throws more crap into the atmosphere then humans ever will. Humans, especially over the last 70 years like to feel good about social causes, and try to feel they can help, so they feel better. it’s all about feeling better, and not logic.</t>
  </si>
  <si>
    <t>what does china think ????????????????</t>
  </si>
  <si>
    <t>We need to mine asteroids</t>
  </si>
  <si>
    <t>Lazard identifies the geopolitical blind spots very well, but there is another blind spot she is missing. We currently have no way to mine the minerals, or even build the devices without oil. Wind turbines and pv panels are not renewable. They are rebuildable. But they, and batteries, not only rely on finite minerals, they also rely on oil. When this generation wears out, we don&amp;#39;t know how to build their replacements without burning oil. Furthermore, recycling parts would necessitate separating alloys back into their distinct elements. To the extent that we know how to do this, it is so energy intensive, it probably can&amp;#39;t ever be made economical. We could run out of some of the minerals before we have even completed the first generation. The economy and world order have to change even more than she imagines. Read Life after Fossil Fuels by Alice J. Friedemann, and follow up on her extensive references.</t>
  </si>
  <si>
    <t>Sorry but thankfully decarbonization is NOT happening. We are using more oil and fossil fuels each and every year. And hopefully we keep doing that in order to keep energy cheap and poor people will have a higher quality of life. Oceans will rise and we will move inland. Easy peasy. We are using more of all energy so no we are far from decarbonizing</t>
  </si>
  <si>
    <t>...Decarbonisation is the only way to go - no doubt about that?&lt;br&gt;&lt;br&gt;What a load of RUBBISH!...</t>
  </si>
  <si>
    <t>She speaks many truths but in fact her goal of global regenerative diplomacy is unspeakably evil, resulting in global slavery for the vast majority of human beings. Here in the U.S.A. there was a dystopian movie once made on that topic; &amp;quot;Soylent Green&amp;quot;. The best immediate course for the developed countries is to transfer electric generation as soon as possible from fossil to nuclear power while working to develop better battery technology.  I&amp;#39;ve heard of an aluminum/graphene battery   being researched in Australia that holds promise.</t>
  </si>
  <si>
    <t>One word: Nuclear. Uranium is widely dispersed and abundant, and not used for anything else. The materials in EV batteries will need to be recycled. If we everyone rich, there will be one less reason to go to war.</t>
  </si>
  <si>
    <t>China is also willing to heavily pollute its land processing all of these rare earth metals.</t>
  </si>
  <si>
    <t>YOU MISS MENTIONING  THE NEW, INFINITE AND FULLY GREEN SOURCE OF ENERGY, AVAILABLE EVERYWHERE IN THE WORLD :  THE GEOTHERMAL ENERGY !!!&lt;br&gt;UNDER OUR FEET THERE IS  AN INCREDIBLE  AMOUNT OF HEAT AVAILABLE ; FROM THE MAGMA OR UPPER EARTH LAYERS !!&lt;br&gt;WHAT WE NEED  IS ONLY TO DRIVE  2 DEEP BOREHOLES : ONE HOLE TO PUMP WATER INTO THE EARTH  AND THE OTHER I.O. TO RECEIVE  WATER  STEAM  ALL THE TIME !! . IT SERVES THEN TO HEAT HOMES OR  FOR THE GENERATION OF LARGE AMOUNTS OF ELECTRIC ENERGY !!</t>
  </si>
  <si>
    <t>Make RE fuel like ethanol and an old ICE car is1/2 the CO2 of an EV.  use nuclear.  wind/solar PV/battery/EV  tech cannot lower CO2.  Waste of money</t>
  </si>
  <si>
    <t>I think that all of this is a questionable approach.  I don&amp;#39;t see how &amp;quot;green growth&amp;quot; as defined here could help at all.  Re-planting forests would help.  But we can&amp;#39;t afford to accept the language of the energy profiteers in our analysis.  There is no &amp;quot;economic business model&amp;quot; for solving the climate crisis.&lt;br&gt;All technologies for energy production are, really, just profit-generating schemes to increase the wealth inequality on the planet.  None of them are sustainable.  The Energy Barons will always insist that there is an &amp;quot;energy demand&amp;quot; that MUST be satisfied.  That assumption must be abandoned if we are going to survive.&lt;br&gt;Fossil fuel combustion, wind power, water and, sun power are not sustainable.  There is no technology for power generation that is clean, safe, affordable, and unlimited.  That includes nuclear fission and nuclear fusion.  (They are all costly, dangerous, and unsustainable.)&lt;br&gt;I am forced to conclude that a planetary &amp;quot;power down&amp;quot; process has to be the answer.  We don&amp;#39;t need three cars for every family, exterior lighting throughout the city, or industrial agriculture to survive.  Converting our cities and infrastructure to sustainable forms would vastly improve our lives, give us a cleaner environment, and provide more than we need to thrive.  Making MORE energy is not a solution.&lt;br&gt;&amp;quot;Let us not talk falsely now.  The hour is getting late.&amp;quot;  Bob Dylan</t>
  </si>
  <si>
    <t>The batteries that dominate for static storage and are beginning to dominate for ev&amp;#39;s have neither cobalt nor nickel. They are lfp: lithium, iron, phosphate. The largest lithium deposit yet found is in the US. And Tesla is now making motors without so called rare earths. Tesla has studied this thoroughly. Transitioning to renewables will result in slightly less mining than fossil fuels. The only problem is ramping production quickly enough. So this person really doesn&amp;#39;t know what she is talking about.</t>
  </si>
  <si>
    <t>One 1st has to overcome the economics since at least the past 53 years I&amp;#39;ve been interested in Green so many have gone bankrupt trying to get Gold out Green.  The scenario being offered is offering doing what is necessary to enable desert land to flow with Milk and Honey which would also enable Green to be available 24/7 across seasons.  This is more than any Global Warming whiner demanding, but what would be required to get what they fantasy to get the Gold out of Green!  This would require Terraforming which Elon Musk will need to get the bugs out of before he is capable to colonize Mars.</t>
  </si>
  <si>
    <t>&amp;quot;Collectivization and redistribution&amp;quot;. Lady, you need to read up on Stalin, Hugo Chávez, and Mao Tse-tung&amp;#39;s failings from an objective point of view.</t>
  </si>
  <si>
    <t>Weaponizing energy to rule the world is Anglo-Saxons’ history, &lt;br&gt;no other empire has ever done that before. &lt;br&gt;Humanity? According to Sachs, the most brutal empires before and after WWII were the UK and US empires.</t>
  </si>
  <si>
    <t>Please don&amp;#39;t make this woman King of the world.</t>
  </si>
  <si>
    <t>Good, but change &amp;quot;regime&amp;quot; to framework, otherwise &amp;quot;Global Public Good Regime&amp;quot; will be misunderstood.</t>
  </si>
  <si>
    <t>China, China, China, ok ok ok&lt;br&gt;&lt;b&gt;Decarbonization can be done with less mining by using nuclear fission power.  But it costs more...Well, this video points out that wind, solar, and batteries cost much more in terms of mining and ecological damages.&lt;/b&gt;</t>
  </si>
  <si>
    <t>A Global Regime? So an international dictatorship and Europe will be in charge?</t>
  </si>
  <si>
    <t>Indonesia now going to build processing infrastructure so we don&amp;#39;t have to deliver raw material to china, because processing product price is far higher than raw materials.</t>
  </si>
  <si>
    <t>Finally! It’s good to see some common sense pragmatism eventually making its way into the green debate. In my opinion, this is why we need to focus increasingly on the most energy dense source of energy we know of: Nuclear power</t>
  </si>
  <si>
    <t>I despise TED talks.  They tell an extremely well crafted narrative, but I do not have confidence that there isn&amp;#39;t some political agenda behind them and I don&amp;#39;t have the time to dig into all of the details presented to figure out for myself what&amp;#39;s right and what&amp;#39;s wrong.  I consider them to be misinformation.&lt;br&gt;&lt;br&gt;The countries doing the best by their ecological standard are the US, Europe and Australia.  These are the freest countries in the world where individual rights are protected and the power of the government is kept in check.  Free rational people do not destroy their world.  If you want to protect this planet, push for smaller less intrusive governments that protect individual and property rights.  Let the people make the best decisions for their own property.   Read Atlas Shurgged to understand why this is the case.</t>
  </si>
  <si>
    <t>There is an important difference though. In the future energy system, we do not consume raw materials. Mainly, we use them and afterwards they still exist. In my opinion, she didn&amp;#39;t mention an important source of resources and that is existing machines which can be recycled. So far I doubt that materials will be the scarce item in the energy transformation because of low demand in maintenance. But surely, it needs to be monitored closely.</t>
  </si>
  <si>
    <t>Molten salt reactor will be needed to back up solarwind</t>
  </si>
  <si>
    <t>Great documentary! Thank you for doing this, it&amp;#39;s extremely useful. It motivate people to become a part of this process</t>
  </si>
  <si>
    <t>Looks great we need more of this</t>
  </si>
  <si>
    <t>Please, more nuclear and less greenwashing.</t>
  </si>
  <si>
    <t>Still. . . . I believe that Nuclear energy is the source of sustainable energy of the future.</t>
  </si>
  <si>
    <t>&amp;quot;Fake news&amp;quot;</t>
  </si>
  <si>
    <t>It is easy go net zero in sunny countries like California. People do not understand that countries with less sunny weather cannot go net zero only with renewables.</t>
  </si>
  <si>
    <t>Absolutely; local authorities and governments should be leading by example. Every Municipal building in the West should have their rooves covered in solar panels and further investments made into local infrastructure. Show the people what can be done and how it can benefit them and they shall follow.</t>
  </si>
  <si>
    <t>To attain  green energy or a renewable energy-driven world is only possible when the world&amp;#39;s giants prefer a stable world over business</t>
  </si>
  <si>
    <t>Hi Dr .&lt;br&gt;Even we can waive the elemagnetis wave interference  by deducting antenna tower accusation.</t>
  </si>
  <si>
    <t>That&amp;#39;s true just blind spotted</t>
  </si>
  <si>
    <t>I feel like it&amp;#39;s AI that&amp;#39;s reading the narration for this video_xD83E__xDD14_</t>
  </si>
  <si>
    <t>Chemistry is the answer!</t>
  </si>
  <si>
    <t>the guy at &lt;a href="https://www.youtube.com/watch?v=UVf2Yw7uFoE&amp;amp;t=25m03s"&gt;25:03&lt;/a&gt; is cute</t>
  </si>
  <si>
    <t>It&amp;#39;s not about saving the planet, it&amp;#39;s about saving human kind. The planet will be here long after we&amp;#39;re gone.</t>
  </si>
  <si>
    <t>So, Norway is building its carbon neutral society by selling oil and gas for the rest of the world to burn. If a country sells oil and gas, that oil and gas should count against their &amp;quot;carbon neutrality&amp;quot;.</t>
  </si>
  <si>
    <t>How about hydrogen power</t>
  </si>
  <si>
    <t>Big country with big money and already develop ecosystem in economy will achieve this dream easily, but others country that still struggle Will only dream about it, &lt;br&gt;Do you know how big the industrialization back in the days, and know every big country want everything Greener than before, how hypocrite</t>
  </si>
  <si>
    <t>Kind of very one sided documentary.&lt;br&gt;&lt;br&gt; I live in Norway, and our politicians are going to terminate all power cables to Europe and the UK as soon as possible, one will be switched off next year (already canceled), and the others as soon as the contracts expire. The reason is simple, before the cables we had to pay about 2-5 cent/kwh, now it can go up to 30 cents. Most people have 100% electric heating and old houses, 30 cent/kwh would bankrupt many of them. &lt;br&gt;We use 32.000 kw/h a year for our house, about 3.000 euro in 2021, with the new prices it would be 6000-9.000 euro a year, the state caps prices at 7 cents at the moment but I don&amp;#39;t believe they will do this indefinitely.</t>
  </si>
  <si>
    <t>We already have all the tech we need to go 100% renewable and it can even be done without nuclear. &lt;br&gt;&lt;br&gt;Windmill power is already much cheaper than nuclear and even proffitable and dont need to be subsided like nuclear currently is in almost all countries.&lt;br&gt;&lt;br&gt;We even have solution to the windmill blades and there is also power to x facilities that has been build.&lt;br&gt;&lt;br&gt;A lot has happend in the last couple years and a lot more will happend in the comming years. &lt;br&gt;Sadly many still believe in the outdate info they got a few years ago.</t>
  </si>
  <si>
    <t>The best renewables are 1. Solar  2. Wind 3. Geothermal (last option)&lt;br&gt;&lt;br&gt;And the rest are waste of time and money..  Hydrogen is a late technology..</t>
  </si>
  <si>
    <t>Germany will need a lot less energy after self destroying all their industry.</t>
  </si>
  <si>
    <t>Wind energy at sea, connections and solar energy will create an enormous amount of debt and electronic/material waste.</t>
  </si>
  <si>
    <t>People are missing the point they don&amp;#39;t want you to have a choice in using renewables</t>
  </si>
  <si>
    <t>Stupidest thing I&amp;#39;ve ever seen. To make high quality solar panels you use coal to refine silica. The amount of copper required is orders of magnitude more.</t>
  </si>
  <si>
    <t>China will lead the world to reach this goal!</t>
  </si>
  <si>
    <t>We didn&amp;#39;t inherit this planet from our parents, we&amp;#39;re borrowing it from our children. How very true and profound.</t>
  </si>
  <si>
    <t>Exciting documentary! _xD83C__xDF0D_</t>
  </si>
  <si>
    <t>Hi sir,  kamma gear fly wheel power generation system is the most advanced one. Please add it to your video.</t>
  </si>
  <si>
    <t>There&amp;#39;s so much space on house roofs for solar panels, maybe if every house had a battery, solar combo they could sustain themselves then we worry about powering areas like new york with tall buildings</t>
  </si>
  <si>
    <t>*Princess Elisabeth Island build near the beglian coast will be the worlds first energy island of it&amp;#39;s kind.</t>
  </si>
  <si>
    <t>Future</t>
  </si>
  <si>
    <t>In porugal, Brazil and a lot of places, but in my country people whonhave PV with normal inverters,  plug on grid, when grid goes off, no more PV or renewable energy..._xD83D__xDE05__xD83D__xDE05_</t>
  </si>
  <si>
    <t>Reducing CO2 in almost zero, how it will be the olantes and trees lives...</t>
  </si>
  <si>
    <t>Or Norway will have a bubble to the outside...</t>
  </si>
  <si>
    <t>Building with less cov...</t>
  </si>
  <si>
    <t>If the video is recent, why that came on newspaper and TV,  that the new English offshore wind energy went wrong, no companie</t>
  </si>
  <si>
    <t>When it will be used the Tesla tower _xD83D__xDE05__xD83D__xDE05_</t>
  </si>
  <si>
    <t>Good luck California</t>
  </si>
  <si>
    <t>Internet via Electricity : KWH_METER</t>
  </si>
  <si>
    <t>Gilette&lt;br&gt; &lt;br&gt;Gilette Foamy  &lt;br&gt;&lt;br&gt;Coca Cola&lt;br&gt;&lt;br&gt;Floridina Florida Orange Coco &lt;br&gt;&lt;br&gt;TEH KOTAK</t>
  </si>
  <si>
    <t>great&lt;a href="about:invalid#zCSafez"&gt;&lt;/a&gt;</t>
  </si>
  <si>
    <t>What would you give me if I gave you the technology to generate electricity that would not harm the environment or affect the climate?</t>
  </si>
  <si>
    <t>Intresting achievements , but it&amp;#39;s sad that we always increasing when it comes to humans needs , instead of doing more adjustment , I am saying it simply that by increased population and due to that, increase the energy we need and finding tricks to drib the difficulties may occur,  we may must thing of the cause of all these . We becoming too many and it&amp;#39;s time to push the brake and as we do towards animals, plants, trees, insects, DO IT to ourselves and control the production , reduce amount of born human , then it automatically reduces the co2, energy needed, food n supply , all at only one move, stop the growth of population .  Just hold on for 10 years of giving birth and 2 biliard will be reduced , so damn simple mathematics. How dumb human acctualy is ?????</t>
  </si>
  <si>
    <t>CO2 only makes up .04% of the atmosphere and of that nature provides 97% of the total. So, the climate change, zero emissions, and carbon neutral rhetoric is total nonsense. It is all well and good to use energy more efficiently, but expensive solar and wind turbines is not the way to go. How can solar panels be recycled after their life span ends? How are the elements in these solar panels separated and recycled? It is just too hard and expensive to do so as it now stands. Solar panels will be prohibitively expensive when silver reaches its true market value of over $200USD. Wind turbine blades are another problem as there is little that can be done with them after their useful lifespan.  Clean cheap, safe, thorium nuclear energy will soon be a reality. There is said to be over 1000 years of thorium which is a waste product of rare earth metal refining. Water has been converted into a combustible gas by the invertors Stanely Meyer and Dennis Klien working separately. No need for using electrolysis to separate hydrogen and oxygen with &amp;quot;green&amp;quot; electricity. The future is very bright with cheap clean unlimited energy. Solar and wind with present their present state of technology will not play much of a part in our energy future. Water will fuel our cars, trucks, locomotives, and ships and cheap thorium will power our electrical grid. That is the future.</t>
  </si>
  <si>
    <t>Zero emissions is pipe dream, you breath you emit co2. Offsetting emissions with planting trees or co2 storage is usually just a shady business stealing our tax money. Co2 is not a problem, forever chemicals and heavy metals and other stuff is.</t>
  </si>
  <si>
    <t>&amp;quot;We didn&amp;#39;t inherit this planet from our parents, we&amp;#39;re borrowing it from our children.&amp;quot;&lt;br&gt;What a powerful yet touching statement...</t>
  </si>
  <si>
    <t>It already is too late.</t>
  </si>
  <si>
    <t>In Bangladesh, solar panels are kind of mandatory in villages. But people buy for a few months when they build their houses. Later on, they sell .</t>
  </si>
  <si>
    <t>Thank you :)</t>
  </si>
  <si>
    <t>That is one powerful statement, We didn&amp;#39;t inherit this planet from our parents, we&amp;#39;re borrowing it from our children :&amp;quot;)</t>
  </si>
  <si>
    <t>This is really a great documentary.</t>
  </si>
  <si>
    <t>Swapping out PC boards for solutions in correction of Nuclear.</t>
  </si>
  <si>
    <t>The motto of this documentary should be: &amp;quot;Anything but nuclear&amp;quot;. All you&amp;#39;re expressing here are ideas that could potentially work at some point, not right now, when we need solutions. Nothing concrete. Nuclear power works, has been working for decades, and is available right now. Renewables are inefficient alone at this point, and wishful thinking won&amp;#39;t change this reality, no matter how many pretty ideas and pretentious words you put into documentaries.</t>
  </si>
  <si>
    <t>เป็นเรื่องที่น่ารับฟังและน่าติดตามมากว่าด้วยเรื่องความเป็นอยู่ของมนุษย์ชาติที่จะอยู่กันเป็นกลุ่มเป็นเมืองเพื่อทำให้ดูเหมือนว่ารวบรวมกันไว้ในที่ๆเดียวกันในสภาพของคนที่ที่คุ้นเคยกับที่อยู่ที่เป็นบ้านดั้งเดิมที่รู้สึกว่าไม่อยากเปลี่ยนไปอยู่ที่อื่นดีที่คนในเมืองใหญ่มีงานทำมีเงินใช้ไว้ซื้ออาหารกินมีระบบดูแลสุขภาพที่ได้ความสมบูรณ์พูนสุขได้อย่างจะได้สุขภาพที่ดี ที่มันต่างกับคนต่างถิ่นที่อยู่ตามที่ทำมาหากินเองอย่างไม่มีนายจ้างไม่มีรายได้ที่มาจากการทำงานให้คนอื่นความต่างกันที่จะไม่ต่างคงเป็นสภาพแวดล้อมโลกที่ต้องดีเพื่อได้สภาพอากาศที่พอเหมาะเหมาะสมเพื่อทำให้ชีวิตยัางยืนและยืนยาวเป็นประสงค์หลักของทุกคนจริงๆทำอะไรที่ดีด้วยการไม่มองข้ามความเป็นชีวิตของทุกชีวิตที่เชื่อว่าทุกคนจะเข้าใจชีวิตของตนได้มากขึ้นการเสริมสร้างให้มีระบบเพื่อความสะดวกสบายและสำคัญสะอาดปลอดภัยไร้เชื้อโรคไร้สารพิษเป็นสิ่งจำเป็นจะต้องศึกษาและเรียนรู้เรื่องสารพิษที่ปนเปื้อนมาในอาหารเครื่องดื่มสำคัญอากาศจะต้องศธบริสุทธิ์เพื่อสุขภาพของทุกชีวิตด้วยกันค่ะขอให้ทุกคนมีสุขภาพกายใจที่ดีพร้อมเพื่อจะได้ช่วยกันดูแลตนเองและสังคมและสิ่งอวดล้อมโลกที่ดีพร้อมไปด้วยกันนะค่ะถ้าเชื่อในคำว่าโลกกว้างจริงๆก็เน้นให้เห็นว่าทุกคนก็ข่วยกันได้อย่างไม่ปล่อยให้เป็นภาระระบบดีแปลว่าที่ที่เราอยู่ต้องพร้อมด้วยการให้สะอาดสมบูรณ์เพื่อได้สุขภาพที่ดีเป็นความจำเป็นแล้วทุกคนจะรู้ตัวของตะวเองว่าจะเลือกอยู่ในแบบไหนเพื่อได้สภาพร่างกายดีให้นานเท่าที่ทำได้ค้นหาให้เจอแล้วลงมือทำกันค่ะเพื่อร่างกายที่ดีตามใฝ่ประสงค์ค่ะ_xD83D__xDE2E__xD83C__xDF89_❤</t>
  </si>
  <si>
    <t>Reducing consumption is the key. Europe and America consume too much.</t>
  </si>
  <si>
    <t>I wish I could be so hopeful.  Great documentary . I wish I could be so hopeful.  Great documentary .</t>
  </si>
  <si>
    <t>10 Billion people are too many.&lt;br&gt;Why we need such population?</t>
  </si>
  <si>
    <t>A fantastic documentary,,, thanks for that❤</t>
  </si>
  <si>
    <t>I Jeremy Odin Scott Hammer Armstrong McGuire Senior Property Owner of All Heaven and Earth all things within and all things without appreciation is Alive in Jesus Christ name Amen</t>
  </si>
  <si>
    <t>Yes.  It&amp;#39;s far more lucrative to go with green energy, conservation, smart power upgrades, regenerative portfolios, and natural abundance.&lt;br&gt;&lt;br&gt;The hydrogen economy is also a part of the campaign, standing alongside best practices, as well.</t>
  </si>
  <si>
    <t>Renewables can team up with hydrogen to create energy loops, that are far more efficacious than current generation strategies.&lt;br&gt;&lt;br&gt;Combining with hydrogen is the key.</t>
  </si>
  <si>
    <t>Solar by the day and nuclear by the night</t>
  </si>
  <si>
    <t>develop extaction methane gas from the whole of sewage facility.</t>
  </si>
  <si>
    <t>Thank You.DW.</t>
  </si>
  <si>
    <t>I love how woman are leading the challenge.</t>
  </si>
  <si>
    <t>Would it be possible to provide names of the companies in the descriptions(all videos) so people could look up in those companies to apply job or invest in to help our planet get better..</t>
  </si>
  <si>
    <t>Great documentation thank you so much it is very interesant for me.</t>
  </si>
  <si>
    <t>Humanity will change and adopt  no worries</t>
  </si>
  <si>
    <t>STOP calling burning Woodchips or hydrogen green energy cause they simply ain&amp;#39;t!</t>
  </si>
  <si>
    <t>Europe is a leader of energy technology.</t>
  </si>
  <si>
    <t>Is a documental or a propaganda for Siemens?</t>
  </si>
  <si>
    <t>One  wind mill fan energy can run same like motors in 100s without fan</t>
  </si>
  <si>
    <t>Fantastic, it was a source of inspiration for my video. Thank you very much._xD83E__xDD73_</t>
  </si>
  <si>
    <t>It is shameful to buy non democratic oil and gas from Russia and Arab countries _xD83D__xDE02_</t>
  </si>
  <si>
    <t>Can&amp;#39;t trust someone who attended energy conferences in China and Saudi Arabia .....</t>
  </si>
  <si>
    <t>remarkable</t>
  </si>
  <si>
    <t>Renewables are not working well in Germany, are they?   The climate and green energy is hysteria is not adhered to in the global south.   Put the wind farms in the cities.  Note the California city is aiming to transition,  it has not actually achieved it.      The same amount of fossil fuel is being used in California as was before the green  hysteria began.</t>
  </si>
  <si>
    <t>This entire video is a bout of wishful thinking with no engineering content at all.  All one has to do with a green obsessive is mention a word like hydrogen,  sodium and they grasp it with childlike enthusiasm for a new toy.    All China&amp;#39;s electric cars run on coal.</t>
  </si>
  <si>
    <t>Showing Norway as an example of clean energy is ridiculous when it have been made a fortune selling oil and gas</t>
  </si>
  <si>
    <t>The best, cleanest and most reliable source of energy is nuclear power plants! Why you don&amp;#39;t say it?</t>
  </si>
  <si>
    <t>drill baby drill</t>
  </si>
  <si>
    <t>The sun is giving Earth enough energy every second to destroy a small asteroid so...</t>
  </si>
  <si>
    <t>Another green shit. Try using a solar panel to warm a house in Finland.</t>
  </si>
  <si>
    <t>Wonderful</t>
  </si>
  <si>
    <t>Oil production should continue but the oil so obtained should not be burned so as to create GHGs. Rather, it should be used to make Carbon fiber cables for space freight elevators to get all polluting industrial processes out of the habitable zone of our planet and out into space. The habitable zone of the planet should then be reserved exclusively for humans and other living species. With available habitat restored, the ecosystem can then soak up all the excess Carbon that we have dumped into it into the standing stock of plant and animal biomass. (The reason that it is accumulating in the atmosphere and the oceans is because it is not accumulating in the standing stock of biomass fast enough). Ecological restoration and enhancement will require humans to function in their proper and intended roles as the keystone species and stewards of the planet. They should be paid a highly respectable wage for their vitally important work. Let&amp;#39;s get started!</t>
  </si>
  <si>
    <t>The problem is that the rate of warming today is so rapid that plants and animals cannot migrate, adapt and evolve rapidly enough. Since humans have been, are and always will be totally dependent upon the functional heath and capacity of our ecological life-support system for our own heath and survival, and since wild plants and animals can’t just run into an AC room to avoid a protracted heat wave, my prediction is that it will take active participation of humans in the for of genetic engineering, ecological restoration and enhancement to adapt to the coming greenhouse Earth. I expect that this job and other geoengineering jobs will be the top and the highest paying jobs of the coming century. I further predict that the necessity for action and the wealth that these people will accumulate will force society to acknowledge ecological literacy as literacy, to acknowledge that humans are part of the ecosystem, stimulate the development of ecologically-based and ecologically-constrained technology and the creation of an ecologically-based and ecologically-constrained economy. This will of course not occur without a fight as many will see the exodus and evacuation of uninhabitable areas of the planet as an opportunity to mine such areas for their mineral wealth with robots.</t>
  </si>
  <si>
    <t>Looks great! Developing countries need to find a way to utilize this!</t>
  </si>
  <si>
    <t>agreed</t>
  </si>
  <si>
    <t>Thank you, it’s very informative and actual</t>
  </si>
  <si>
    <t>I strongly believe that it will be more profitable for the entire planet to invest in circular economy rather than using every drop of petroleum... what if that effort is direct to increase renewable sources of energy, what if we reduce energy comsumption what if we support other strategies... we must undertand that we live in the same planet and we use the same resources, its not about money, it is about life for everyone!</t>
  </si>
  <si>
    <t>Informative video</t>
  </si>
  <si>
    <t>If Robert Lwellien where a californian mayor_xD83D__xDE02__xD83D__xDE02__xD83D__xDC4D_</t>
  </si>
  <si>
    <t>Renwables are the future. We need to reduce our reliance on fossil fuels from  dictatorships</t>
  </si>
  <si>
    <t>But what happens with Norwegian oil and gas after 2030 ?  XD</t>
  </si>
  <si>
    <t>The entire country of Portugal ran solely on renewable energy for six days in a row in November 2023.&lt;br&gt;Portugal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</si>
  <si>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The entire country of Portugal ran solely on renewable energy for six days in a row.&lt;br&gt;Portugal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</si>
  <si>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Agradezco saber ahora que la educación escolar y secundaria es importante para formar un criterio cientifico como un ser humano que debe aportar cosas positivas de vuelta a la sociedad</t>
  </si>
  <si>
    <t>German village of Lützerath</t>
  </si>
  <si>
    <t>&lt;a href="https://www.youtube.com/watch?v=UVf2Yw7uFoE&amp;amp;t=33m10s"&gt;33:10&lt;/a&gt; sad that batteries are about to become obsolete</t>
  </si>
  <si>
    <t>EN ESTE VIDEO SE MUESTRAN VARIOS DETALLES INOVADORES QUE SE PUEDEN APLICAR EN OTROS PAISES. UNO DE ELLOS FUE UN ACUMULADOR LLENO DE ARENA PARA CAPTURAR CALOR DEL SUBWAY  Y APROVECHARLO PARA CALEFACION DE VARIOS EDIFICIOS.</t>
  </si>
  <si>
    <t>LOS PIONEROS.</t>
  </si>
  <si>
    <t>Thanks for the video</t>
  </si>
  <si>
    <t>_xD83D__xDE4B_‍♂_xD83D__xDE4C__xD83E__xDD1E__xD83D__xDE4B_‍♂️</t>
  </si>
  <si>
    <t>Erik, I don&amp;#39;t think I&amp;#39;ve ever missed a Macrovoices episode and I wanted to thanks you for your great work. The energy crisis series is also excellent. Congratulations!</t>
  </si>
  <si>
    <t>Joe Biden&amp;#39;s a goof</t>
  </si>
  <si>
    <t>Hi Erik,&lt;br&gt;&lt;br&gt;I have been a fan of MacroVoices for years now. Like during the pandemic, I again want to complement you for trying to look out for all of us with this documentary. Now getting down to business.&lt;br&gt;Personally I tried over and over to use a super efficient model to generate electricity called combined heat and power. Here in California it has been impossible…. But if you know of someone who has the expertise I would love to hear about it.&lt;br&gt;&lt;br&gt;Great job</t>
  </si>
  <si>
    <t>Erik I can&amp;#39;t thank you enough for the incredible content you make. You&amp;#39;ve done an amazing job creating content and I can&amp;#39;t wait to check out this series.</t>
  </si>
  <si>
    <t>Well done on the release of your new energy documentary series. Congratulations.</t>
  </si>
  <si>
    <t>Amazing and insightful</t>
  </si>
  <si>
    <t>Erik, I know you&amp;#39;re an engineer by trade but you need a better designer. This is not gonna get people to click your video</t>
  </si>
  <si>
    <t>Frozen Hydrates.  2000 years NG supply.</t>
  </si>
  <si>
    <t>Yes, about 80% of energy is still fossil fuels but this primary energy includes agriculture, transport, manufacturing as well as electricity. If you look at the trend for developed nations, the electricity sector is showing significant fossil decline - even if it isn&amp;#39;t as quick as people might like. My point is that the effort put into decarbonisation is making a difference. The problem is that most people don&amp;#39;t appreciate the scale of the global energy system. They don&amp;#39;t have a proper perspective and thus have unrealistically high expectations.</t>
  </si>
  <si>
    <t>This is amazing Erik. Will share widely.</t>
  </si>
  <si>
    <t>We have some new promising politicians in the Netherlands. Going to do my best to have them watch this.</t>
  </si>
  <si>
    <t>Erik a great episode! thanks</t>
  </si>
  <si>
    <t>Finally some common sense about a serious topic that politicians and the general public just don&amp;#39;t understand. Good luck with your videos Erik, I hope it opens the eyes of a world full of stupid people and even dumber politicians, sadly I fear we will have to lean the hard way.</t>
  </si>
  <si>
    <t>Have you read Tesla Masterplan 3?</t>
  </si>
  <si>
    <t>Wind and solar are much more useless than depicted here. Seasonal variation is not even mentioned. Often they are producing next to nothing for half the year.</t>
  </si>
  <si>
    <t>A must watch for everyone!</t>
  </si>
  <si>
    <t>Interesting. Hard for me to see the benefits of wind. Perhaps solar on domestic. Definitely nuclear. Interested to see more about geothermal! Onto the next episode.</t>
  </si>
  <si>
    <t>A point that I think was left undressed is the problem of substituting gas powered thermal power plants for on-demand electricity production. With batteries out of the question, which technologies will we use for storing intermittently produced energy from wind &amp;amp; solar that can be re-transformed to electricity at a moment&amp;#39;s notice?</t>
  </si>
  <si>
    <t>TLDR: The transition to clean energy alternatives is crucial to avoid an energy crisis and environmental destruction, but progress is hindered by unrealistic policies, corporate greed, and the need for a master plan and public engagement.&lt;br&gt;&lt;br&gt;1.  Humanity needs to transition to clean energy alternatives due to the finite nature and pollution of fossil fuels, but current progress is insufficient and politicians&amp;#39; false claims could lead to an energy crisis in the mid-2020s.&lt;br&gt; 1.1 Humanity must break its addiction to fossil fuels and transition to clean energy alternatives due to their finite nature, pollution, and the risk of permanent climate change.&lt;br&gt; 1.2 Politicians claim to have a plan for achieving Net Zero carbon emissions by 2050 through wind and solar energy, but in reality, the current progress is insufficient as wind and solar combined only supply less than two percent of our energy needs, and meeting their goals would require building 50 times more wind and solar in the next 25 years than in the last 25 years.&lt;br&gt; 1.3 The speaker warns that the electric vehicle Revolution will require environmentally destructive mining operations and that politicians&amp;#39; false claims about achieving energy transition will cause economic inflation, with almost no real progress made in reducing dependence on fossil fuels, leading to a predicted global energy crisis in the mid-2020s that could have been avoided with sound energy policy.&lt;br&gt;&lt;br&gt;2.  Transitioning to renewable energy is crucial to avoid an energy crisis and economic depression caused by climate change and the depletion of cheap oil fields, but politicians&amp;#39; unrealistic policies and corporate greed hinder progress.&lt;br&gt; 2.1 Politicians are not genuinely engaged in solving the energy transition crisis and their policies are unrealistic and won&amp;#39;t achieve the stated goals in the stated time.&lt;br&gt; 2.2 This docu-series aims to explain the need for energy transition, highlighting the challenges, costs, and environmental impact often overlooked by politicians, and debunking the belief that wind and solar alone can solve the problem by 2050 due to failed government policies, corporate greed, bureaucracy, and corruption.&lt;br&gt; 2.3 Our leaders have failed in energy policy, but if we transition to renewable energy, we can achieve human prosperity and reduce our reliance on fossil fuels, which currently make up over 85% of our energy needs.&lt;br&gt; 2.4 Climate change reaching a Tipping Point and the depletion of cheap oil fields will lead to an energy crisis and global economic depression if we don&amp;#39;t transition to renewable energy soon.&lt;br&gt;&lt;br&gt;3.  The availability of cheap and abundant energy has driven societal progress and technological advancements, making it more cost-effective and efficient than human labor.&lt;br&gt; 3.1 Societal complexity is determined by the availability of cheap and abundant energy, as demonstrated by the reliance on farming and lack of alternatives in the past.&lt;br&gt; 3.2 The availability of cheap and abundant energy is the driving force behind the significant progress humanity has made in the last 250 years.&lt;br&gt; 3.3 Energy technology, starting with the steam engine, has allowed for significant human advancement by providing cheap and abundant energy, as demonstrated by the fact that a gallon of gasoline can produce the same amount of work as 482 hours of human labor, making it much more cost-effective, and even a professional athlete cannot match the physical labor that can be bought for less than half a dollar in most countries.&lt;br&gt;&lt;br&gt;4.  The need for energy transition is crucial due to the environmental impact of fossil fuels, finite resources, and the need to sustain and advance society while preventing self-destruction.&lt;br&gt; 4.1 The need for energy transition is crucial due to the significant environmental impact of burning fossil fuels, the finite nature of these resources, and the exponential increase in human population.&lt;br&gt; 4.2 Our ability to sustain the lives of everyone on our planet depends on the energy derived from fossil fuels, which is necessary for modern farming and feeding the current population.&lt;br&gt; 4.3 The higher cost of energy is slowing societal advancement, and it is crucial to find enough clean energy to ensure our survival and prevent self-destruction.&lt;br&gt;&lt;br&gt;5.  Fossil fuels are inefficient and wasteful in generating energy, while wind and solar energy offer a more efficient and less wasteful alternative.&lt;br&gt; 5.1 Fossil fuels are used to generate energy through burning, with natural gas being the most efficient when directly used for heating, but less efficient when used to produce electricity.&lt;br&gt; 5.2 Coal-fired power plants are inefficient, with even the best ones wasting more than half of the heat energy released from burning coal to generate electricity.&lt;br&gt; 5.3 Burning fossil fuels in internal combustion engines is highly inefficient and wasteful, while wind and solar energy, although appearing small in comparison, do not suffer from these inefficiencies and can provide equivalent amounts of electricity with less waste.&lt;br&gt;&lt;br&gt;6.  Electric demand varies throughout the day, requiring different energy sources for base load and intermittent demand, with renewables like wind and solar being suitable for mid-afternoon intermittent demand, but not practical for base load power needs, and the shift to electric vehicles will impact energy demand patterns.&lt;br&gt; 6.1 Electric demand fluctuates throughout the day, with base load demand being constant and intermittent demand occurring during peak periods, requiring different energy sources for each.&lt;br&gt; 6.2 Coal and nuclear power plants are best for supplying base load electricity, while natural gas and electric generators are better for meeting intermittent demand, but wind and solar renewables are well-suited for meeting mid-afternoon intermittent electric demand, although energy storage technology introduces inefficiencies and it is not practical to rely on wind and solar for base load power needs.&lt;br&gt; 6.3 When the majority of vehicles are electric, the demand for vehicle charging during the early morning hours will increase, causing a shift in the energy demand pattern.&lt;br&gt;&lt;br&gt;7.  Hydropower and geothermal renewables are better suited for base load supply needs, while wind and solar energy cannot serve as base load power sources, requiring alternative sources to meet future energy demand.&lt;br&gt; 7.1 Hydropower and geothermal renewables are better suited for meeting base load supply needs, with geothermal having the potential to become a terrific source of base load power, while hydropower opportunities have already been developed globally, limiting its growth in the future.&lt;br&gt; 7.2 Wind and solar energy, while efficient for producing electricity, cannot serve as a base load power source, so it is necessary to find alternative base load power sources to meet the remaining 65 percent of energy demand by 2050.&lt;br&gt;&lt;br&gt;8.  A master plan is needed to replace fossil fuels with clean energy, but this transition can only happen if people demand progress and engage in the conversation.</t>
  </si>
  <si>
    <t>Excellent summary of the REALITY of this transition and the challenges ahead!!</t>
  </si>
  <si>
    <t>Amazing work!</t>
  </si>
  <si>
    <t>Hi Erik, I watched all the episodes, thank you so much for making this very informative and well presented series of videos. I was already aware of Copenhagen Atomics and was already convinced their solution and concept is amazing. I&amp;#39;ve already shared your videos in several forums and will continue to do so.</t>
  </si>
  <si>
    <t>Hey Erik. I’ve very interested in this series and thank you for making this series. I’m a weekly listener of macro voices and have been waiting for this to be produced. &lt;br&gt;If possible could you please comment or add something on the very high efficiency engines that are described in the movie Gashole? These engines got around 100 miles to the gallon!</t>
  </si>
  <si>
    <t>Thanks Eric for a great series. I agree with everything you&amp;#39;ve explained. I am a long time listener to your weekly Macro Voices podcast. Climate change debates have been toxic in Australia over the last 20 years based on party politic. I hope your aspirations for this docu series are achieved. Either way thanks for your efforts for this cause.</t>
  </si>
  <si>
    <t>Erik, I was able to convince my son to consider nuclear engineering in college because you and Macrovoices. It really is appointment listening.</t>
  </si>
  <si>
    <t>P.S. Climate change is fake. But that withstanding Nuclear is the only way to power our planet for the rest of the century because leftists wont allow banks to lend for more exploration.</t>
  </si>
  <si>
    <t>TOTALLY DEBUNKED. South Australia already succeeded in a transition from coal/gas to 70% renewables (wind/solar) with half the year on 100%, on track for 100% all year around in a few years. Parts of Scandinavia are already running on mixed renewables but the naysayers like you said that it would be too hard to manage and phase in such a complex network over a larger population and across a larger area. That myth has also been dis-proven. I smell petro dollars behind your information source feed and the slick presentation.&lt;br&gt;The myth of not being about to network that power and without fossil fuel having to always be the base and  transition away from fossil fuels all at the same time on a large scale also dis-proven. SA did it early and the tech is continosly improving with battery/wind/solar/management/alternate storage (sand/gravel/salt/fluid/cheaper better batteries)&lt;br&gt;The state of Tasmania has long been 100% with just hydro power/geothermal as well as Iceland etc so your &amp;quot;just NZ&amp;quot; claim isn&amp;#39;t correct. Further more they were doing it decades ago with old tech. Surely you don&amp;#39;t seriously think it&amp;#39;s too hard now??!!  Not enough land????? In USA? They built a productive solar plant in California scrub land decades ago! Australia and Morocco are building solar plants in the desert and exporting the power, so whether or not that is taking it too far economically, sending it across a few states on existing grid systems (which is already what we do in Australia) is a no brainer, much cheaper than building enormous expensive giant gas pipelines across the country and then converting that back to electricity in a giant power station! The only thing holding us back is old dudes like you with no vision on what we can&amp;#39;t do, just propaganda on what we can do to hold on to the past. So just let the planet burn and flood? Is that your answer?&lt;br&gt;&lt;br&gt;&lt;a href="https://www.safa.sa.gov.au/environmental-s-governance/energy"&gt;https://www.safa.sa.gov.au/environmental-s-governance/energy&lt;/a&gt;</t>
  </si>
  <si>
    <t>100 mile x 100 miles of solar in the middle of the desert is enough to power all US, even with varying calculations on on that, let&amp;#39;s double it to 200 miles, (they already have robot solar laying machines in the middle east where they are going all renewables to conserve and profit from exporting their fossil fuel) add some wind and of course sand/gravel/salt/liquid/battery storage and the rest of the existing renewables and your argument of  &amp;quot;where will we put it&amp;quot;  is clearly fraudulent and ludicrous. The electricity networks are already in place. South Australia has already proved it can be network managed with 70% renewables (100% half the year) using solar and wind alone across an enormous state and comparatively small battery storage in this case.</t>
  </si>
  <si>
    <t>Fantastic Erik - I have shared this to my network</t>
  </si>
  <si>
    <t>Erik, thank you! I love these videos so much. Information density here is beyond anything I ever saw. In short and simple way you and your team were able to explain probability the biggest problem of 21 century. I do my best to share this with all my friends. Thank you!</t>
  </si>
  <si>
    <t>Great</t>
  </si>
  <si>
    <t>Erik, as a long time listener to MacroVoices, I can now see where your &amp;quot;dream job&amp;quot; pitch came from. I&amp;#39;m right behind you and will, when talking to the UK Government next week, be using some of this content to make some key points as it is more eloquently expressed than I could do. Great work!</t>
  </si>
  <si>
    <t>“An electric vehicle requires 400% more metals”. A vehicle is mostly metal by mass. An EV does NOT weigh 400% more than a comparable ICE vehicle. So he’s being very selective here. Consider, say, lithium. An EV battery has about 10kg lithium in it - drastically more than a combustion-powered car for sure, but not actually a LOT, in terms of the weight of the vehicle. There are some really ugly problems with his numbers, and I’m sure I have another post coming critiquing this, but I’m disappointed that such an apparently smart guy is either completely failing to understand trend lines, or is being deliberately misleading in his language.&lt;br&gt;&lt;br&gt;edit: He goes on to talk about this much increase in the TOTAL metals mined globally, how it will need to increase by orders of magnitude. But his numbers are lumping metals mined in small amounts, like lithium, from metals mined in enormous amounts - iron and aluminum. Those do NOT need to increase by orders of magnitude to support this transition. Did he not realize this? Or worse, did he realize this and say what he is saying anyway? Wow, that’s either incompetent or unethical. Take your pick.</t>
  </si>
  <si>
    <t>I can’t stomach this misinformation any longer, but I do need to make an important point here. He makes the popular “renewables are only 3%, how can that help?” argument, but does not consider rates of growth. His chart shows energy output from 1990-2020. I’m expanding slightly to 2022, because 2020 is a bit misleading, but… in that period, fossil fuel consumption grew from 83,000TWh to 137,000TWh - not quite doubling. More narrowly, from 2010-2022, it grew from 121kTWh to 137kTWh - around 15%. In the same period, solar grew from 0.39TWh to 1289TWh (1990-2022), over three orders of magnitude. More recently, from 2010-2022 it grew from 31TWh to 1289TWh, a 40x increase. It is currently doubling every three years! At that logarithmic (not linear) rate of growth, in another 12 years, solar will grow from 2% of the energy to 80%. Of course, the S-curve will level off at some point, but when? Failing to recognize logarithmic growth (driven by a logarithmic drop in prices!) is economic malpractice.</t>
  </si>
  <si>
    <t>There are a number of things in this episode that are not fully thought through. For example, there’s an assumption that lithium is the ONLY viable battery, particularly for grid storage. This is simply not true. As a wise man in the green energy world once said, if you want to make something dirt cheap, make it out of dirt. This has happened even in the lithium battery world. Cobalt is mentioned several times in this video as a resource constraint, but iron phosphate (LFP) batteries are rapidly replacing cobalt in lithium batteries. And stationary storage doesn’t have the same need vehicles do for light weight and fast charge/discharge cycles. So grid storage can and will be made of cheaper materials. Lithium-style batteries will give way to sodium, and technologies like iron-air and liquid flow batteries, which are not practical for vehicles, will offer cheap grid storage. &lt;br&gt;&lt;br&gt;Another thing not considered is the impact of economies of scale. Dismissing the currently-small amount of wind and particularly solar is a basic failure to understand the miracle of compound growth (an odd oversight for a hedge fund manager!). Solar panels used to be prohibitively expensive. Now, they are the cheapest available source of electricity - so cheap that the intermittency can be bought down by using (increasingly cheap) storage to time-shift that cheap power. And solar panels are almost ideal for economies of scale in manufacturing. Despite the claims of “exotic materials”, a solar panel is basically just a spicy window. It’s glass in an aluminum/plastic frame, with a bit of wiring, and a thin layer of silicon semiconductor (doped with not-really rare phosphorus and boron) more or less screen-printed on. The most expensive material by far is the silver used for wiring. Moreover, there are no chemical reactions or moving parts in a solar panel, so there is little to wear out. Modern solar panels could easily last 100 years or more, continuing to produce electricity (albeit slowly falling in output). So even though solar panel prices fell 90% in just a decade, there is plenty more price drop left to go, as production scales up. Economies of scale also apply to batteries for storage - we’ve also seen 90% price reduction in lithium batteries in the same period, and we haven’t even started scaling much cheaper grid storage tech. &lt;br&gt;&lt;br&gt;Finally, this completely misses the impact of current intermittent energy on the pricing of base loads. Solar, in particular, makes abundant energy available during its productive cycle - that competes directly with base load. Even now, we’re seeing periods where electricity prices go negative on a regular basis. And, as the video points out, the traditional coal and nuclear base loads can’t be easily turned on or off, so they can’t just shut down while the sun is shining and the wind is blowing. This means their prices need to go UP when the sun is down and the wind is low, to maintain profitability. This, in turn, reduces the barrier to entry for relatively short-term storage that can buy up the afternoon’s cheap power to sell at night. So economically, base load power has a tremendous challenge. &lt;br&gt;&lt;br&gt;I suspect this series is subtly headed in a “nuclear is our only option” direction, although it’s avoiding that sensitive subject at first, like religious zealots toning down their evangelism at first meeting. But given the problems of base load economically, AND the tremendous difficulty and expense of building it at scale (which hasn’t happened after 50+ years of government subsidies)… well, couldn’t that same change-the-world level effort be applied to just building out solar faster?</t>
  </si>
  <si>
    <t>To the uninitiated this narrator may sound authoritative - but the presentation is full of errors.  &lt;br&gt;The steam engine for instance first appeared in 1712 and not in 1760; power plants and internal combustion engines do not reject all their unused heat to the exhaust as &amp;quot;pollution&amp;quot; but to the cooling medium - anyone with a minimum of training in thermodynamics knows this; anthropogenic climate change and peak oil have already been debunked....and on and on... I had to stop listening to this nonsense.</t>
  </si>
  <si>
    <t>Amazing how cheap fuel is when you look at it like this! &lt;a href="https://www.youtube.com/watch?v=75c-kHKv0O4&amp;amp;t=10m30s"&gt;10:30&lt;/a&gt;</t>
  </si>
  <si>
    <t>Mr. Townsend, been a longtime listener and im here to show my support. Good luck with your career transition, fixing this issue would be transformational for the world economy and you seem to be the only person ive heard with an actionable plan.</t>
  </si>
  <si>
    <t>Very well done.&lt;br&gt;Although I think you have a point concerning nuclear energy, how about biofuels from algae (both microalgae like Botryococcus and Chlorella as well as macro algae such as kelp or Sargassum)? Ofcourse, these are expensive compared to fossil solutions such as diesel and kerosene, but that’s the whole point isn’t it? We should recalculate our pricing models based on sustainable solutions instead of leaving out factors like global warming, loss of biodiversity and pollution. Not to mention the fact that we’re running out of easy to produce fuels in the first place.</t>
  </si>
  <si>
    <t>&amp;quot;...I remain passionately committed to helping solve the greatest problem humanity faces...&amp;quot;&lt;br&gt;&lt;br&gt;Then you should pick up and run with the Occam&amp;#39;s Razor solution to all of these problems. I&amp;#39;m 85 years old and don&amp;#39;t have the resources, time and energy to satisfactorily promote this eminently pragmatic way to rid us of our addiction to burning fossil fuels: Search for: &amp;quot;how nuclear enabled hydrogen (neh) will save the planet&amp;quot;&lt;br&gt;&lt;br&gt;&lt;br&gt;The numbers and cost of decarbonising all energy use in the UK requires a level of investment each year that is less than ½ the savings that will be made in billions of £s and millions of premature deaths/vile illnesses every year that result from burning fossil fuels:&lt;br&gt;Search for: the cost of powering the uk with smrs &amp;amp; neh is 2x better than a zero-sum-game!&lt;br&gt;&lt;br&gt;Nuclear and nuclear enabled hydrogen technologies are all iron/steel/concrete/aluminium-based technologies. Because of nuclear&amp;#39;s energy density, the quantities involved are an absolute minimum and will not be compromised by any shortfalls in mineral mining or refining.&lt;br&gt;&lt;br&gt;The small modular reactor (SMR) era is upon us now. The commercial operation date (COD) for GE Hitachi&amp;#39;s BWRX-300 is 2028; the COD for Rolls-Royce SMR Ltd&amp;#39;s UK SMR is 2029, as is NuScale&amp;#39;s VOYGR. All can and will be financed from commercial money markets and before the end of this decade, investors will be scrambling to get their money out of dysfunctional wind and solar and into super-investable SMRs. Exponential growth in annual production rates can be expected worldwide for many years to come.</t>
  </si>
  <si>
    <t>Enjoyed the first episode looking forward to the whole series.</t>
  </si>
  <si>
    <t>Erik is a remarkable storyteller, interviewer, futurist, macro economist, financial guru and dedicated to bettering the world around us all. This series should be mandatory viewing for high school students the world over.</t>
  </si>
  <si>
    <t>Greatly appreciate your well reasoned arguments and push for people to unite around the critical energy transition.</t>
  </si>
  <si>
    <t>Hi Erik - I&amp;#39;m a big fan of the podcast and enjoyed the podcast version of this youtube series.  I sent you an email to the macro voices info / contact email address about support options for your recently announced nuclear mission, hopefully you pick that up. I would love to chat about ways to help.  Kind regards John</t>
  </si>
  <si>
    <t>Well done ! This is great and I will share with friends, family and colleagues</t>
  </si>
  <si>
    <t>Good work Erik!</t>
  </si>
  <si>
    <t>We don&amp;#39;t have an addiction to fossil fuels. It is the only viable option we have right now. It is a necessity not an addiction.</t>
  </si>
  <si>
    <t>Congratulations Erik! Awesome content! Brazil is a nice example of how hidropower can applied, more than 70% of our energy comes from that source, although there is a huge emphasis on fossil fuels for cars and public transport.</t>
  </si>
  <si>
    <t>He lost me at “certain to occur”. &lt;br&gt;Nothing is certain.</t>
  </si>
  <si>
    <t>An excellent series and solid start for increasing awareness of past corruption and incompetence, the role of alternative energy sources and a roadmap for potential solutions for cheap and abundant energy.&lt;br&gt;I have previously enjoyed Eriks podcast and respect his drive for SMR - but feeling frustrated that my reach on socials and influence in raising awareness is limited.&lt;br&gt;Let us continue to promote and share, develop learning materials and educate the crisis elite that there is a better way to action and create solutions, instead of lurching for one crisis to the next.&lt;br&gt;&lt;br&gt;Love your work so far - keep the faith that human development will prevail in our transition to a mutually better world.❤❤</t>
  </si>
  <si>
    <t>Very well done and informative!</t>
  </si>
  <si>
    <t>Love the series, but climate change is NOT universally accepted. In fact, there are many climate PhDs who would say there is virtually zero global warming due to fossil fuel usage.</t>
  </si>
  <si>
    <t>Excellent work Erik</t>
  </si>
  <si>
    <t>Erik this is an awesome series to delve deep into. Thank you (and anyone else involved) for making this happen. Bravo!</t>
  </si>
  <si>
    <t>Brilliant series of videos!!</t>
  </si>
  <si>
    <t>Excellent docuseries. Make sure and watch all 8 episodes. The nuclear episodes made my blood boil.</t>
  </si>
  <si>
    <t>The Supreme Court of Canada ruled on Oct 13 that the Liberal&amp;#39;s Bill C-69, the &amp;quot;No more pipelines act&amp;quot;, violates Sec. 92 of the Canada Constitution, making it of no force or effect because it is illegal. What this mean&amp;#39;s for Canada&amp;#39;s energy and mining sector is billions of $$ coming into Provinces like Alberta and Saskatchewan. Oil &amp;amp; Gas, Gold, Silver, Uranium, Copper, Copper, Pot Ash, etc. The Provinces have sole jurisdiction of their resources under the Constitution. Canada is now open for business!</t>
  </si>
  <si>
    <t>it&amp;#39;s time to load up on shares of energy and mining stocks in Canada, like SASK, CCO, SUP, PRIZ, ROS, THIS IS NOT INVESTMENT ADVICE</t>
  </si>
  <si>
    <t>you could consider Canada as an emerging market since it has been stifled by 8 years of Trudeau and the WOKE Liberals who are coming to an end</t>
  </si>
  <si>
    <t>Over 1,000+ of the most-driven entrepreneurs and industry brand leaders came to Banff, Alberta for the The Gathering&amp;#39;s 2023 Summit.</t>
  </si>
  <si>
    <t>Great compilation great information!!</t>
  </si>
  <si>
    <t>I really like the theme music it is super cool.</t>
  </si>
  <si>
    <t>The climate change part is full of so much General propaganda lies misinformation and greed I just can&amp;#39;t bring myself to believe them</t>
  </si>
  <si>
    <t>Whàt àbout the gravity¡?</t>
  </si>
  <si>
    <t>slide at &lt;a href="https://www.youtube.com/watch?v=75c-kHKv0O4&amp;amp;t=3m17s"&gt;3:17&lt;/a&gt; needs to be redone, as non-readable. Maybe estimations should be right-hand, text at the left</t>
  </si>
  <si>
    <t>Atta boy</t>
  </si>
  <si>
    <t>Cheers for all you do mate</t>
  </si>
  <si>
    <t>Don&amp;#39;t forget that before we had energy and specifically engines, slavery was widespread and legal.  If the de growth people go far enough with permanent energy poverty, it will make a comeback.</t>
  </si>
  <si>
    <t>The thing I&amp;#39;m afraid you don&amp;#39;t understand is that there&amp;#39;s a sizeable portion of the environmental movement which believes we would benefit from a massive reduction in available energy.  Some of this is sensible, more mass transit would improve health, but a lot of it is just &amp;quot;Americans are too rich&amp;quot;.  It&amp;#39;s going to be hard to get the environmental movement on board for new energy sources that decades of Soviet propaganda convinced them to be afraid of, when a lot of them think we should just all agree to be poor forever.</t>
  </si>
  <si>
    <t>Epic! A genuine TruthSayer. People are so disgusted with jabbering politicians - all of whom throughout history seem empassioned to remain in office at any cost - even at the cost of future humanity _xD83D__xDE1E_Thank you for opening people&amp;#39;s eyes!</t>
  </si>
  <si>
    <t>Love this series!!  Why don’t any of the politicians present these types of facts..???</t>
  </si>
  <si>
    <t>Great summary of the state of play Erik. If only more people knew the current flaws in the all of the global government&amp;#39;s policies and how unrealistic their goals are. I hope more people get the chance to listen to this. I will spread the word</t>
  </si>
  <si>
    <t>Good ideas whose time has come.</t>
  </si>
  <si>
    <t>so have any states asked you to run their nuclear development program yet?</t>
  </si>
  <si>
    <t>very informative, thanks Eric</t>
  </si>
  <si>
    <t>Saving this to watch later _xD83D__xDE80_</t>
  </si>
  <si>
    <t>1. I don&amp;#39;t take energy as a given, or as limited. 2 Progress is a function of the mind. 3. The mind functions best when at peace, not stressed by fear, violence, threats. 4. The political paradigm is designed to induce fear of violence by threatening force and by fraud. 5. The obstruction of progress is due to &amp;quot;The Most Dangerous Superstition&amp;quot; (Larken Rose). 6. If superstition continues to dominate humanity, destroying progress, then humanity may become extinct. 7. The solution is reason, achieved by a new political paradigm based on peaceful interaction. This will require a respect for each other, as expressed by the theory of rights. Only rights allows choice, diversity, experimentation, innovation. Without rights, humanity will perish.</t>
  </si>
  <si>
    <t>I hope we can get back on track by remembering why we transitioned in the past. We replaced the old sources with more dense and cleaner new sources. Wood/Dung -&amp;gt; Coal -&amp;gt; Oil -&amp;gt; Gas so the obvious next step is Fission and then Fusion. Unfortunately the green socialists are fervently opposed to this, think Germany which switched from Nuclear back to Brown Coal because of Chernobyl and Fukushima (i.e. flawed designs).</t>
  </si>
  <si>
    <t>Truth to power, no pun intended</t>
  </si>
  <si>
    <t>I  never realised the link between cheap energy and progress in society. The consequence of this link is that cheap energy is a obligation for the energy transition, and also that reduction of energy consumption is a kind of dominant western view on this issue. Furthermore, most politicians and environmental groups focus on eind and solar, but not in base-load energy supply.</t>
  </si>
  <si>
    <t>This is definitely a must-see for everyone, especially the younger generation who are confident that electric cars will save the world. Gorgeous work showing a view from above above the situation.</t>
  </si>
  <si>
    <t>Thanks, I’ve been waiting for this!</t>
  </si>
  <si>
    <t>I just watch it over and over as I find this so valuable, but Erik will only be right when all the fake puppets are wrong and need his help!❤</t>
  </si>
  <si>
    <t>This episode Serves as the crucial foundation for understanding the urgency and significance of the Energy Transition Crisis. Erik Townsend eloquently lays out the groundwork, emphasizing the pivotal role of energy in our lives and the looming challenges we face. It&amp;#39;s a wake-up call to the world, urging us to unite and take a proactive stance in addressing the impending energy crisis. The clarity and insight provided in Episode 1 make it an indispensable starting point for anyone seeking to comprehend the gravity of the situation. Let&amp;#39;s continue this journey together towards a sustainable and resilient energy future!</t>
  </si>
  <si>
    <t>Is it truly wise to take our cues on the climate emergency from a man who has been flying around the globe in their own private jet for the last 40 years? A man who has made his fortune trading in Peak Oil? A venture capitalist and hedge fund manager with a book extoiling the virtues of Blockchain prominantly displayed on their desk in every clip? Come on people have any of you bothered to look into who is funding this movement and documentary series? Big oil and gas exploration companies. That&amp;#39;s who. Erik is selling snake oil and he isn&amp;#39;t interested in a clean energy transition, he is interested in making as much money as possible from the sale of as much oil and gas in the immediate short term as possible. He probably owns property in Tasmania or New Zealand and will move his family there as soon as much of the world becomes uninhabitable.</t>
  </si>
  <si>
    <t>Incredible breakdown of the challenges we face in transitioning to clean energy. It&amp;#39;s evident that a comprehensive plan is needed. Let&amp;#39;s push for informed policies and realistic goals to make a genuine impact on our energy future.</t>
  </si>
  <si>
    <t>The correlation between cheap and abundant energy and societal progress is eye-opening. Understanding the importance of baseload power in our energy mix is crucial for a successful transition. Great insights shared in this video</t>
  </si>
  <si>
    <t>The need for a Master Plan is evident. It&amp;#39;s inspiring to see someone break down the complexities of the energy transition crisis. Let&amp;#39;s engage in more conversations like these to foster awareness and drive collective action.</t>
  </si>
  <si>
    <t>Hydropower is not only used as baseload power, but im many cases as intermittent power when demand is high. Hydropower from reservoirs can be regulated and deliver high peak power when demand is there if constructed for it. Only hydropower from rivers or without reservoirs are &amp;quot;constant&amp;quot;. As an example, when there are alot of windpower in northern Europe and perhaps alot of sunpower during the day, Norwegian hydropower ramps down to save water for later use.</t>
  </si>
  <si>
    <t>Pulverized coal dust is blown with compressed air into the combustion system of the power plant.  Magnesium powder is added to fine tune the burn characteristics of varying coal qualities.  Magnesium is clean and can be obtained from seawater brine. Increasing magnesium to the max could clean up old plants</t>
  </si>
  <si>
    <t>Great work ❤</t>
  </si>
  <si>
    <t>Thank you for this great series _xD83C__xDF89_</t>
  </si>
  <si>
    <t>This will go viral at some point</t>
  </si>
  <si>
    <t>more than 20 years of discussion , discussions , &amp;amp; more discussions about discussions of discussions !!_xD83D__xDE05__xD83D__xDE05__xD83D__xDE05_</t>
  </si>
  <si>
    <t>Thanks!</t>
  </si>
  <si>
    <t>I&amp;#39;m finally getting to see this.  Good Job Erik!  I&amp;#39;m a macrovoices listener.  This is excellent too.</t>
  </si>
  <si>
    <t>Well, europe doesnt have oil nor gas..this itself is already a good reason to make the transition.</t>
  </si>
  <si>
    <t>Thank you team. Great series</t>
  </si>
  <si>
    <t>Thanks Erik for your passion</t>
  </si>
  <si>
    <t>Good to hear a balanced analysis of the energy transition issue</t>
  </si>
  <si>
    <t>Hello Erik. Loved the first episode. &lt;br&gt;&lt;br&gt;Small comment. The hydro electric resource map at minute 21 seemed to have omitted Canada completely. Quebec gets almost exclusively its energy from hydro.</t>
  </si>
  <si>
    <t>Very thankful for what you share Erik - all the way from Australia.</t>
  </si>
  <si>
    <t>Overemphasis on a fundamental idea. Raw materials allows for human civilization.  Cheap energy is the basis of the high level of living standards. It is the general population that doesn&amp;#39;t think about it.</t>
  </si>
  <si>
    <t>My quibble is with the fundamental assumption that fossil fuel is bad due to climate change. And that such a thing as &amp;quot;clean&amp;quot; energy that will last forever is a real thing.</t>
  </si>
  <si>
    <t>I think we can all agree that there is, in fact, climate change. However, we do disagree on the ultimate cause.  That is irrelevant in terms of our needs to wean ourselves of the usage of fossil fuels.  The climate activist all tend to dislike nuclear energy with exception of fusion which is not a viable solution. At least not in the next three or four decades which will not be in time for us to transition away from fossil fuels. We currently have the technology to eliminate a very significant amount of our dependance on fossil fuels but yet we are pouring our resources into non viable technologies. It&amp;#39;s time to stop the insanity.</t>
  </si>
  <si>
    <t>OMG. So much misinformation in this presentation. If this was a TED talk, I would call him uninformed. Since this is a professional, I have to call him a liar. There is no way a serious researcher would ignore/not realize all the issues with his conclusions.&lt;br&gt;&lt;br&gt;- The amount of energy needed is not 1:1. Electric motors and heat pumps are 3x more efficient compared to combustion. &lt;br&gt;- The money used for renewables - yes the first 3 percent needed over  5 trillion, but that money invested caused the costs to drop more than 10x and we could get from 3 to 30 for about the same price, assuming the cost remain about the same (more on that later)&lt;br&gt;-The Levelized cost of electricity for hydropwer is similar or higher then wind and solar, not 16x smaller.&lt;br&gt;- The amount of materials we will need to mine  is  not 7x-70x higher. This guy assumes just because the amount of metals in a renewable generator is over 10x or a BEV is 3-4x higher, we need to increase overall mining by the same multiple. WE DON´T.  Because BEV and generator demands combined make up only  single digit percent of the worldwide mining. &lt;br&gt;For example an ICE car has 20-25kg of copper, a BEV has 70-80kg. So 70 million cars per year mean 25*70M= 1,750M tons of copper, which is only 8 percent of worldwide mining. So going to 80 kg per car  would be 80*70M=5,6M or 25,5 percent. So the actual increase of copper mining would be less than 20 percent. That´s still a lot, but nowhere  near the multiple he is suggesting. Especially since...&lt;br&gt;... the amount of copper in a BEV can and is being reduced. This is already happening. High volatge cables in some BEVs are aluminum. A lot more can be reduced by going to 800+ system drivetrain voltage and 48V low voltage. This could take the amount of copper close to what is used in ICE cars today.&lt;br&gt;- He is using the multiple of materials for  generators in the demad for mining FUELS! For f..s sake, a generator weight is multiple times smaller than the weight of all the fuel it burns! When a solar panel is built it doesn´t need any new materials for operation so it is much lower on kg per kWh basis.&lt;br&gt;A napkin math example: a 100kg solar panel (including mounting and cabling) will produce over 1kW of peak power and over 36 MWh of energy over it´s lifetime. That is equal to around 3000kg of gasoline or 30x more than the weight of the panel.&lt;br&gt;- Claim that a BEV or a Tesla battery production needs 8-25 tons of CO2. Wrong or outdated. Using 2022 ICCT data it is about 4 tons, meaning the CO2 will level out after driving around 50 000 km in a worldwide energy mix average.  &lt;br&gt;- The metals in BEVs are 4x heavier. Oh really? Lets assume the non-metal parts are about the same weight. An average battery is around 400kg. So for example a 2 ton BEV is therefore about equal to 1600kg ICE car.   Solving the equations, the metal parts in the ICE vehicle would be only 133,3kg and the non metal parts 1466,6 kg. Yeah, NO. Good luck finding a spec combination that would make the 4x work.&lt;br&gt;- Back to the future cost of renewables. How will the material cost not go long term exponential? Just like it always did. Supply and demand. Just look at the lithium prices over the last 5 years. High prices force new solutions, open up new markets and lower demand. And that goes for all industries that use the material, not just BEVs and energy. There are also alternatives to energy storage, it´s not just lithium batteries, those will be a lot more viable with increased metal prices. The prices will likely be high but not outrageous. The transformation may slow down and only grow with the speed of opening new mines, but that´s nothing new.&lt;br&gt;&lt;br&gt;The only thing more disappointing than this presentation is the lack of critical thinking aplied by those who listened.</t>
  </si>
  <si>
    <t>@TihoDownTheTube</t>
  </si>
  <si>
    <t>@PaulWetStuff</t>
  </si>
  <si>
    <t>@nathanwilliams5290</t>
  </si>
  <si>
    <t>@Chuck68ify</t>
  </si>
  <si>
    <t>@Yapostadodat</t>
  </si>
  <si>
    <t>@kurtbecker3827</t>
  </si>
  <si>
    <t>@sela2611</t>
  </si>
  <si>
    <t>@fabrice14637</t>
  </si>
  <si>
    <t>@robertellingtom2683</t>
  </si>
  <si>
    <t>@425z5</t>
  </si>
  <si>
    <t>@jamesruscheinski8602</t>
  </si>
  <si>
    <t>@colesonafrank5329</t>
  </si>
  <si>
    <t>@georget1569</t>
  </si>
  <si>
    <t>@camelot507</t>
  </si>
  <si>
    <t>@ShooterNumberOne</t>
  </si>
  <si>
    <t>@adriandocherty778</t>
  </si>
  <si>
    <t>@kimanimaina1780</t>
  </si>
  <si>
    <t>@andrebalsa203</t>
  </si>
  <si>
    <t>@martinutr</t>
  </si>
  <si>
    <t>@paulstarr5706</t>
  </si>
  <si>
    <t>@francistuckermanns</t>
  </si>
  <si>
    <t>@archibaldnoah2787</t>
  </si>
  <si>
    <t>@user-ye8gl2ey1m</t>
  </si>
  <si>
    <t>@Damremont18</t>
  </si>
  <si>
    <t>@Brad-sb1dk</t>
  </si>
  <si>
    <t>@jason_moonchild</t>
  </si>
  <si>
    <t>@ianithompson4239</t>
  </si>
  <si>
    <t>@robjpatterson</t>
  </si>
  <si>
    <t>@tbonemc2118</t>
  </si>
  <si>
    <t>@aliendroneservices6621</t>
  </si>
  <si>
    <t>@David-wg3mf</t>
  </si>
  <si>
    <t>@paulkiernan3256</t>
  </si>
  <si>
    <t>@markmiller8903</t>
  </si>
  <si>
    <t>@tatradak9781</t>
  </si>
  <si>
    <t>@Dedread</t>
  </si>
  <si>
    <t>@lkwrmwtr</t>
  </si>
  <si>
    <t>@ralphtoivonen2071</t>
  </si>
  <si>
    <t>@YO3A007</t>
  </si>
  <si>
    <t>@bobbeck4594</t>
  </si>
  <si>
    <t>@jonb5493</t>
  </si>
  <si>
    <t>@jplabrecque6708</t>
  </si>
  <si>
    <t>@ibretus</t>
  </si>
  <si>
    <t>@SA-nv5tc</t>
  </si>
  <si>
    <t>@gracie2375</t>
  </si>
  <si>
    <t>@amadeusguy1009</t>
  </si>
  <si>
    <t>@mikefranz1056</t>
  </si>
  <si>
    <t>@cybertruckmike</t>
  </si>
  <si>
    <t>@suewarman9287</t>
  </si>
  <si>
    <t>@charleslyster1681</t>
  </si>
  <si>
    <t>@johnmosheim</t>
  </si>
  <si>
    <t>@jeffharmed1616</t>
  </si>
  <si>
    <t>@kshacklett</t>
  </si>
  <si>
    <t>@philostrand</t>
  </si>
  <si>
    <t>@Isaac.Ramirez</t>
  </si>
  <si>
    <t>@mattheww797</t>
  </si>
  <si>
    <t>@zen1647</t>
  </si>
  <si>
    <t>@sonofsomerset1695</t>
  </si>
  <si>
    <t>@Hovite_Wanderer</t>
  </si>
  <si>
    <t>@ks-eq3yx</t>
  </si>
  <si>
    <t>@babalonkie</t>
  </si>
  <si>
    <t>@tibsyy895</t>
  </si>
  <si>
    <t>@kenalv</t>
  </si>
  <si>
    <t>@Rafael-vn2bo</t>
  </si>
  <si>
    <t>@lloydjones3371</t>
  </si>
  <si>
    <t>@veronicahoyos-leonard2459</t>
  </si>
  <si>
    <t>@amosbatto3051</t>
  </si>
  <si>
    <t>@knightblueyan5682</t>
  </si>
  <si>
    <t>@simonbowman6206</t>
  </si>
  <si>
    <t>@kiwidenk</t>
  </si>
  <si>
    <t>@mickskov3949</t>
  </si>
  <si>
    <t>@bobbresnahan8397</t>
  </si>
  <si>
    <t>@neverrl3379</t>
  </si>
  <si>
    <t>@pts619</t>
  </si>
  <si>
    <t>@A3Kr0n</t>
  </si>
  <si>
    <t>@jeffreyroberts4637</t>
  </si>
  <si>
    <t>@azorianman88</t>
  </si>
  <si>
    <t>@nickschroeder9358</t>
  </si>
  <si>
    <t>@gamingtonight1526</t>
  </si>
  <si>
    <t>@firechiefsampolitano1541</t>
  </si>
  <si>
    <t>@felipearbustopotd</t>
  </si>
  <si>
    <t>@Fair.D</t>
  </si>
  <si>
    <t>@alex.velasco</t>
  </si>
  <si>
    <t>@tiagodasilva1124</t>
  </si>
  <si>
    <t>@juancarlosdominguez9998</t>
  </si>
  <si>
    <t>@vthilton</t>
  </si>
  <si>
    <t>@Muonium1</t>
  </si>
  <si>
    <t>@tarant315</t>
  </si>
  <si>
    <t>@elijahfreeman3997</t>
  </si>
  <si>
    <t>@erashish14</t>
  </si>
  <si>
    <t>@SemperFidelisCasablancas</t>
  </si>
  <si>
    <t>@abdelkaioumbouaicha</t>
  </si>
  <si>
    <t>@user-zf9dv8kg7q</t>
  </si>
  <si>
    <t>@ihsan337</t>
  </si>
  <si>
    <t>@farber2</t>
  </si>
  <si>
    <t>@Julian_Wang-pai</t>
  </si>
  <si>
    <t>@joemccarthy7120</t>
  </si>
  <si>
    <t>@zaurenstoates7306</t>
  </si>
  <si>
    <t>@fredflintstoner596</t>
  </si>
  <si>
    <t>@themightykabool</t>
  </si>
  <si>
    <t>@loveLTi</t>
  </si>
  <si>
    <t>@vijaymujumdar5617</t>
  </si>
  <si>
    <t>@brianwilson4592</t>
  </si>
  <si>
    <t>@industrialmonk</t>
  </si>
  <si>
    <t>@valdisfilks9427</t>
  </si>
  <si>
    <t>@juanmiguelreyesguerr</t>
  </si>
  <si>
    <t>@TimEngbergSongs</t>
  </si>
  <si>
    <t>@user-hh6ex9md4w</t>
  </si>
  <si>
    <t>@Dreadnought16</t>
  </si>
  <si>
    <t>@johnfurey936</t>
  </si>
  <si>
    <t>@prophetsnake</t>
  </si>
  <si>
    <t>@sandponics</t>
  </si>
  <si>
    <t>@peterdollins3610</t>
  </si>
  <si>
    <t>@compostjohn</t>
  </si>
  <si>
    <t>@hholton7245</t>
  </si>
  <si>
    <t>@ghaloise</t>
  </si>
  <si>
    <t>@petephone9353</t>
  </si>
  <si>
    <t>@pargevkarapetyan2251</t>
  </si>
  <si>
    <t>@fbenniks</t>
  </si>
  <si>
    <t>@user-nb5sr7by6y</t>
  </si>
  <si>
    <t>@samhadlington7076</t>
  </si>
  <si>
    <t>@CherokezPittman</t>
  </si>
  <si>
    <t>@lola19444</t>
  </si>
  <si>
    <t>@FantasyForum</t>
  </si>
  <si>
    <t>@Suburp212</t>
  </si>
  <si>
    <t>@ChristopherWHerbert</t>
  </si>
  <si>
    <t>@sunjaysunjay6062</t>
  </si>
  <si>
    <t>@guardianpresencerobotics7776</t>
  </si>
  <si>
    <t>@Ivan-fs7go</t>
  </si>
  <si>
    <t>@will-fullyblindorwill-fullystu</t>
  </si>
  <si>
    <t>@user-kp007</t>
  </si>
  <si>
    <t>@pinoyyoutubekomiks7813</t>
  </si>
  <si>
    <t>@JL.English.Journal</t>
  </si>
  <si>
    <t>@nigelpitsch5946</t>
  </si>
  <si>
    <t>@CoreySmith-ph3fj</t>
  </si>
  <si>
    <t>@NTKM-om9vn</t>
  </si>
  <si>
    <t>@user-kx4bm5rj2y</t>
  </si>
  <si>
    <t>@TechnicalShivam-bh1hv</t>
  </si>
  <si>
    <t>@alanmcrae8594</t>
  </si>
  <si>
    <t>@peterkramer288</t>
  </si>
  <si>
    <t>@justinekunobe8263</t>
  </si>
  <si>
    <t>@alienspotting6946</t>
  </si>
  <si>
    <t>@ibrahimsued4906</t>
  </si>
  <si>
    <t>@VK4VO</t>
  </si>
  <si>
    <t>@white4571</t>
  </si>
  <si>
    <t>@bikenut7777</t>
  </si>
  <si>
    <t>@aramos8955</t>
  </si>
  <si>
    <t>@gamefever90</t>
  </si>
  <si>
    <t>@SergePavlovsky</t>
  </si>
  <si>
    <t>@solexxx8588</t>
  </si>
  <si>
    <t>@earthflute2248</t>
  </si>
  <si>
    <t>@user-wo6zt1hf9q</t>
  </si>
  <si>
    <t>@chrisw1462</t>
  </si>
  <si>
    <t>@GypzyJack</t>
  </si>
  <si>
    <t>@erikkovacs3097</t>
  </si>
  <si>
    <t>@lokmanmerican6889</t>
  </si>
  <si>
    <t>@markcampbell7577</t>
  </si>
  <si>
    <t>@ivandimitrovivanov7584</t>
  </si>
  <si>
    <t>@AuJohnM</t>
  </si>
  <si>
    <t>@atlanciaza</t>
  </si>
  <si>
    <t>@user-vv7tx6gd9c</t>
  </si>
  <si>
    <t>@AresThePacifist</t>
  </si>
  <si>
    <t>@andreytarasevich4515</t>
  </si>
  <si>
    <t>@blugreen99</t>
  </si>
  <si>
    <t>@romanregman1469</t>
  </si>
  <si>
    <t>@tipperarymick5337</t>
  </si>
  <si>
    <t>@Dj671993</t>
  </si>
  <si>
    <t>@ladislavtoman9327</t>
  </si>
  <si>
    <t>@vincentrobinette1507</t>
  </si>
  <si>
    <t>@micklenier6152</t>
  </si>
  <si>
    <t>@laStar972chuck</t>
  </si>
  <si>
    <t>@lawrenceheyman435</t>
  </si>
  <si>
    <t>@picapica8846</t>
  </si>
  <si>
    <t>@paddymcelligott5375</t>
  </si>
  <si>
    <t>@claudiodonato5764</t>
  </si>
  <si>
    <t>@richardtierney4617</t>
  </si>
  <si>
    <t>@davejohnson3773</t>
  </si>
  <si>
    <t>@alexmintz7786</t>
  </si>
  <si>
    <t>@10-OSwords</t>
  </si>
  <si>
    <t>@mikeshafer</t>
  </si>
  <si>
    <t>@markgemmell3769</t>
  </si>
  <si>
    <t>@richardweyland116</t>
  </si>
  <si>
    <t>@user-rw5xi1fo3v</t>
  </si>
  <si>
    <t>@DigSamurai</t>
  </si>
  <si>
    <t>@HadrienLBB</t>
  </si>
  <si>
    <t>@user-yh7kz9lo5s</t>
  </si>
  <si>
    <t>@ccx22</t>
  </si>
  <si>
    <t>@daveslow84</t>
  </si>
  <si>
    <t>@robert100xx</t>
  </si>
  <si>
    <t>@BillyTheKidCENTURION</t>
  </si>
  <si>
    <t>@daviddgz</t>
  </si>
  <si>
    <t>@shashashasha4239</t>
  </si>
  <si>
    <t>@_ata_3</t>
  </si>
  <si>
    <t>@nxxxx9601</t>
  </si>
  <si>
    <t>@intotheunknown804</t>
  </si>
  <si>
    <t>@lingth</t>
  </si>
  <si>
    <t>@cedriceveleigh</t>
  </si>
  <si>
    <t>@planethopper335</t>
  </si>
  <si>
    <t>@LFiloktetes</t>
  </si>
  <si>
    <t>@gurpreetsinghgill7228</t>
  </si>
  <si>
    <t>@nathanngumi8467</t>
  </si>
  <si>
    <t>@coreyleander7911</t>
  </si>
  <si>
    <t>@Vitalclubsport</t>
  </si>
  <si>
    <t>@whitehotice</t>
  </si>
  <si>
    <t>@Afsaroseli</t>
  </si>
  <si>
    <t>@nietingevuld9251</t>
  </si>
  <si>
    <t>@danielcaceres9971</t>
  </si>
  <si>
    <t>@MotorDetroit</t>
  </si>
  <si>
    <t>@sbdtech1117</t>
  </si>
  <si>
    <t>@diannadima7082</t>
  </si>
  <si>
    <t>@NOKI-VSEOCENIM</t>
  </si>
  <si>
    <t>@jaichaubey9293</t>
  </si>
  <si>
    <t>@BetterTextLex</t>
  </si>
  <si>
    <t>@gjward64</t>
  </si>
  <si>
    <t>@ddvantandar-kw7kl</t>
  </si>
  <si>
    <t>@pf888</t>
  </si>
  <si>
    <t>@TecuciMustard</t>
  </si>
  <si>
    <t>@musguera</t>
  </si>
  <si>
    <t>@alexlawcb</t>
  </si>
  <si>
    <t>@HireMyTimestampTalent</t>
  </si>
  <si>
    <t>@user-nq2zg2jo8y</t>
  </si>
  <si>
    <t>@melherviktor</t>
  </si>
  <si>
    <t>@timogul</t>
  </si>
  <si>
    <t>@Mveira-hp4pk</t>
  </si>
  <si>
    <t>@nickstibbs1</t>
  </si>
  <si>
    <t>@korth26</t>
  </si>
  <si>
    <t>@IggyDalrymple</t>
  </si>
  <si>
    <t>@pioternietz496</t>
  </si>
  <si>
    <t>@husnumurat</t>
  </si>
  <si>
    <t>@humanityexists777</t>
  </si>
  <si>
    <t>@zzz22214</t>
  </si>
  <si>
    <t>@lsteber9774</t>
  </si>
  <si>
    <t>@sanoojcools123</t>
  </si>
  <si>
    <t>@theMK7</t>
  </si>
  <si>
    <t>@wongsiewkok7914</t>
  </si>
  <si>
    <t>@stephencuskley5251</t>
  </si>
  <si>
    <t>@Pid75</t>
  </si>
  <si>
    <t>@rrrrrrktjtj</t>
  </si>
  <si>
    <t>@tspidey007</t>
  </si>
  <si>
    <t>@mgriff1138</t>
  </si>
  <si>
    <t>@aaronnorton2006</t>
  </si>
  <si>
    <t>@raviramanathan5565</t>
  </si>
  <si>
    <t>@GD-ev7lb</t>
  </si>
  <si>
    <t>@TheImacrox</t>
  </si>
  <si>
    <t>@bjornhojgaard</t>
  </si>
  <si>
    <t>@dimitritzifas2914</t>
  </si>
  <si>
    <t>@richard_ford</t>
  </si>
  <si>
    <t>@contactjakobus</t>
  </si>
  <si>
    <t>@stanleytolle416</t>
  </si>
  <si>
    <t>@Buran01</t>
  </si>
  <si>
    <t>@karlswanson95</t>
  </si>
  <si>
    <t>@thewiseperson8748</t>
  </si>
  <si>
    <t>@mohd.saifullahmajid6029</t>
  </si>
  <si>
    <t>@patricksullivan3919</t>
  </si>
  <si>
    <t>@peterazlac1739</t>
  </si>
  <si>
    <t>@lokesh303101</t>
  </si>
  <si>
    <t>@the_energycoach</t>
  </si>
  <si>
    <t>@michaelmullenfiddler</t>
  </si>
  <si>
    <t>@ericliu5491</t>
  </si>
  <si>
    <t>@paultaylor3264</t>
  </si>
  <si>
    <t>@canmosk</t>
  </si>
  <si>
    <t>@greg2165</t>
  </si>
  <si>
    <t>@jamesagerholm2034</t>
  </si>
  <si>
    <t>@beautifulgirl219</t>
  </si>
  <si>
    <t>@benchapple1583</t>
  </si>
  <si>
    <t>@alanbarbier3521</t>
  </si>
  <si>
    <t>@coolblu101</t>
  </si>
  <si>
    <t>@acmefixer1</t>
  </si>
  <si>
    <t>@marknielsen8738</t>
  </si>
  <si>
    <t>@njm543</t>
  </si>
  <si>
    <t>@giorgiocooper9023</t>
  </si>
  <si>
    <t>@puptentacle9648</t>
  </si>
  <si>
    <t>@gregbarton1970</t>
  </si>
  <si>
    <t>@ttmallard</t>
  </si>
  <si>
    <t>@jamesthompson7282</t>
  </si>
  <si>
    <t>@williamhofford8116</t>
  </si>
  <si>
    <t>@-LightningRod-</t>
  </si>
  <si>
    <t>@lumpisolar</t>
  </si>
  <si>
    <t>@albertvidal3621</t>
  </si>
  <si>
    <t>@JSBrown-iw1lh</t>
  </si>
  <si>
    <t>@tonysu8860</t>
  </si>
  <si>
    <t>@stentasch</t>
  </si>
  <si>
    <t>@tonyshipton8896</t>
  </si>
  <si>
    <t>@O000hShiny</t>
  </si>
  <si>
    <t>@chapter4travels</t>
  </si>
  <si>
    <t>@jogon8531</t>
  </si>
  <si>
    <t>@tomgooch1422</t>
  </si>
  <si>
    <t>@alanaronie1443</t>
  </si>
  <si>
    <t>@mangoplukker</t>
  </si>
  <si>
    <t>@spacetimemalleable7718</t>
  </si>
  <si>
    <t>@kaf2303</t>
  </si>
  <si>
    <t>@peterkerling3539</t>
  </si>
  <si>
    <t>@philcooper165</t>
  </si>
  <si>
    <t>@mikeg9117</t>
  </si>
  <si>
    <t>@MarianMaryan</t>
  </si>
  <si>
    <t>@JodStar</t>
  </si>
  <si>
    <t>@AnyoneCanDoScience</t>
  </si>
  <si>
    <t>@willemooms9591</t>
  </si>
  <si>
    <t>@philipwong895</t>
  </si>
  <si>
    <t>@erbol0011</t>
  </si>
  <si>
    <t>@yooper8778</t>
  </si>
  <si>
    <t>@VAA_EU</t>
  </si>
  <si>
    <t>@mauritsdolmans2536</t>
  </si>
  <si>
    <t>@ryanreeson9783</t>
  </si>
  <si>
    <t>@benjones1717</t>
  </si>
  <si>
    <t>@Jakob_Nybo</t>
  </si>
  <si>
    <t>@alphablondy04</t>
  </si>
  <si>
    <t>@johnkutsch7609</t>
  </si>
  <si>
    <t>@smithbrady6173</t>
  </si>
  <si>
    <t>@marcusfleuti2672</t>
  </si>
  <si>
    <t>@seanearnest8350</t>
  </si>
  <si>
    <t>@maximusvesalius</t>
  </si>
  <si>
    <t>@MrArtist7777</t>
  </si>
  <si>
    <t>@ronmorrell9809</t>
  </si>
  <si>
    <t>@Scoots1994</t>
  </si>
  <si>
    <t>@__-tz6xx</t>
  </si>
  <si>
    <t>@CMWobby1</t>
  </si>
  <si>
    <t>@christianfaust5141</t>
  </si>
  <si>
    <t>@avinashgore6258</t>
  </si>
  <si>
    <t>@fedorbutochnikow5312</t>
  </si>
  <si>
    <t>@user-ys6vm1yt7v</t>
  </si>
  <si>
    <t>@anthonymorris5084</t>
  </si>
  <si>
    <t>@thomassenbart</t>
  </si>
  <si>
    <t>@disky01</t>
  </si>
  <si>
    <t>@KrazeeKeithKash</t>
  </si>
  <si>
    <t>@nielsanten9957</t>
  </si>
  <si>
    <t>@stewartjones2173</t>
  </si>
  <si>
    <t>@winstonsolipsist1741</t>
  </si>
  <si>
    <t>@paulbong7529</t>
  </si>
  <si>
    <t>@calvers01</t>
  </si>
  <si>
    <t>@terenceharvey6432kong</t>
  </si>
  <si>
    <t>@alanpritchard4573</t>
  </si>
  <si>
    <t>@timpg76</t>
  </si>
  <si>
    <t>@slobberdan8428</t>
  </si>
  <si>
    <t>@SomOneOfU</t>
  </si>
  <si>
    <t>@tykeno1192</t>
  </si>
  <si>
    <t>@wvhaugen</t>
  </si>
  <si>
    <t>@kissoffire1</t>
  </si>
  <si>
    <t>@gambitsheild9814</t>
  </si>
  <si>
    <t>@m.e.345</t>
  </si>
  <si>
    <t>@adrianthoroughgood1191</t>
  </si>
  <si>
    <t>@bivideo7</t>
  </si>
  <si>
    <t>@davefroman4700</t>
  </si>
  <si>
    <t>@dejanzatezalo3809</t>
  </si>
  <si>
    <t>@Private-GtngxNMBKvYzXyPq</t>
  </si>
  <si>
    <t>@fleuryjean-francois8704</t>
  </si>
  <si>
    <t>@samuelsoroaster416</t>
  </si>
  <si>
    <t>@environmentalasanything7105</t>
  </si>
  <si>
    <t>@John-eq8cu</t>
  </si>
  <si>
    <t>@FranzJStrauss</t>
  </si>
  <si>
    <t>@steveyorke3806</t>
  </si>
  <si>
    <t>@ewaf88</t>
  </si>
  <si>
    <t>@sebichdz29</t>
  </si>
  <si>
    <t>@onwingsofmidnight</t>
  </si>
  <si>
    <t>@r.a.p.h4481</t>
  </si>
  <si>
    <t>@cognitivedissonance2530</t>
  </si>
  <si>
    <t>@steverandall3255</t>
  </si>
  <si>
    <t>@MrBigbangbuzz</t>
  </si>
  <si>
    <t>@eachus</t>
  </si>
  <si>
    <t>@michaelmalone7604</t>
  </si>
  <si>
    <t>@danwatson171</t>
  </si>
  <si>
    <t>@rohanwright7384</t>
  </si>
  <si>
    <t>@billing100</t>
  </si>
  <si>
    <t>@teklife</t>
  </si>
  <si>
    <t>@nathanielbyrne1132</t>
  </si>
  <si>
    <t>@sabofx</t>
  </si>
  <si>
    <t>@matusknives</t>
  </si>
  <si>
    <t>@vadimuha</t>
  </si>
  <si>
    <t>@edwardlawrence5666</t>
  </si>
  <si>
    <t>@petersimms4982</t>
  </si>
  <si>
    <t>@armineser2591</t>
  </si>
  <si>
    <t>@timshort9692</t>
  </si>
  <si>
    <t>@drdehailey</t>
  </si>
  <si>
    <t>@50yobeast</t>
  </si>
  <si>
    <t>@sparkysho-ze7nm</t>
  </si>
  <si>
    <t>@shuaige3360</t>
  </si>
  <si>
    <t>@SeanAltamurasalt</t>
  </si>
  <si>
    <t>@rolm7877</t>
  </si>
  <si>
    <t>@patchartrand1</t>
  </si>
  <si>
    <t>@iamnobody4574</t>
  </si>
  <si>
    <t>@philippklaus6882</t>
  </si>
  <si>
    <t>@hughhunt6679</t>
  </si>
  <si>
    <t>@mplaw77</t>
  </si>
  <si>
    <t>@David-wc5zl</t>
  </si>
  <si>
    <t>@JstJacko</t>
  </si>
  <si>
    <t>@MrSmegfish</t>
  </si>
  <si>
    <t>@user-wq7hd5cr3j</t>
  </si>
  <si>
    <t>@corneliuscorcoran9900</t>
  </si>
  <si>
    <t>@craigs902</t>
  </si>
  <si>
    <t>@RWBHere</t>
  </si>
  <si>
    <t>@tranceporter7426</t>
  </si>
  <si>
    <t>@davidewen3899</t>
  </si>
  <si>
    <t>@purpleglitter9596</t>
  </si>
  <si>
    <t>@LourdVicious</t>
  </si>
  <si>
    <t>@hannessomething6716</t>
  </si>
  <si>
    <t>@philliprobinson7724</t>
  </si>
  <si>
    <t>@doronharry2857</t>
  </si>
  <si>
    <t>@michaelbindner9883</t>
  </si>
  <si>
    <t>@13minutestomidnight</t>
  </si>
  <si>
    <t>@nepdisc3722</t>
  </si>
  <si>
    <t>@markschuette3770</t>
  </si>
  <si>
    <t>@michaelpiatak8291</t>
  </si>
  <si>
    <t>@sokolmihajlovic1391</t>
  </si>
  <si>
    <t>@anthonywilson8998</t>
  </si>
  <si>
    <t>@JosephSalter-cj9cm</t>
  </si>
  <si>
    <t>@adrianrandi3738</t>
  </si>
  <si>
    <t>@RasakBlood</t>
  </si>
  <si>
    <t>@josephparaskevas7375</t>
  </si>
  <si>
    <t>@user-dn6kj8xc7r</t>
  </si>
  <si>
    <t>@CleanTechBusinessClub</t>
  </si>
  <si>
    <t>@liberty5964</t>
  </si>
  <si>
    <t>@mdmdfrp3904</t>
  </si>
  <si>
    <t>@alexandrawhitelock6195</t>
  </si>
  <si>
    <t>@mitch_the_-itch</t>
  </si>
  <si>
    <t>@dalewolver8739</t>
  </si>
  <si>
    <t>@ReasonablySane</t>
  </si>
  <si>
    <t>@danielhanawalt4998</t>
  </si>
  <si>
    <t>@cesarmaldonadomercad</t>
  </si>
  <si>
    <t>@user-xz9hu4rd2v</t>
  </si>
  <si>
    <t>@chrisshaw5806</t>
  </si>
  <si>
    <t>@gregorybaillie2093</t>
  </si>
  <si>
    <t>@russellcompton4405</t>
  </si>
  <si>
    <t>@smoky1848</t>
  </si>
  <si>
    <t>@SeattlePioneer</t>
  </si>
  <si>
    <t>@tedclapham4833</t>
  </si>
  <si>
    <t>@gayagenda</t>
  </si>
  <si>
    <t>@eddyclarysse6468</t>
  </si>
  <si>
    <t>@MarcoVermeij</t>
  </si>
  <si>
    <t>@Hombre525</t>
  </si>
  <si>
    <t>@user-cv7nd6sw3t</t>
  </si>
  <si>
    <t>@7scientist</t>
  </si>
  <si>
    <t>@kenmarriott5772</t>
  </si>
  <si>
    <t>@Johnsmith-zi9pu</t>
  </si>
  <si>
    <t>@Seawithinyou</t>
  </si>
  <si>
    <t>@0Turbox</t>
  </si>
  <si>
    <t>@johnrothgeb5782</t>
  </si>
  <si>
    <t>@alfredmacleod8951</t>
  </si>
  <si>
    <t>@robertmyers9634</t>
  </si>
  <si>
    <t>@rudigereichler4112</t>
  </si>
  <si>
    <t>@stephenbrickwood1602</t>
  </si>
  <si>
    <t>@lynncarter4964</t>
  </si>
  <si>
    <t>@mmbudny</t>
  </si>
  <si>
    <t>@jimr5855</t>
  </si>
  <si>
    <t>@GailClifton</t>
  </si>
  <si>
    <t>@digdougedy</t>
  </si>
  <si>
    <t>@MDAdams72668</t>
  </si>
  <si>
    <t>@SuperProtector</t>
  </si>
  <si>
    <t>@kkob</t>
  </si>
  <si>
    <t>@derkyarik_7298</t>
  </si>
  <si>
    <t>@ChrisTaylor-dz6nk</t>
  </si>
  <si>
    <t>@GamingBear_Q_E_D</t>
  </si>
  <si>
    <t>@leodefendis6363</t>
  </si>
  <si>
    <t>@jerryw6699</t>
  </si>
  <si>
    <t>@happyhome41</t>
  </si>
  <si>
    <t>@miket.2879</t>
  </si>
  <si>
    <t>@IanHague</t>
  </si>
  <si>
    <t>@billyg1640</t>
  </si>
  <si>
    <t>@patricelauverjon2856</t>
  </si>
  <si>
    <t>@gregdvorkin</t>
  </si>
  <si>
    <t>@markhoran70</t>
  </si>
  <si>
    <t>@werdru6258</t>
  </si>
  <si>
    <t>@neddyladdy</t>
  </si>
  <si>
    <t>@OGMann</t>
  </si>
  <si>
    <t>@coachhannah2403</t>
  </si>
  <si>
    <t>@christophorfaust2457</t>
  </si>
  <si>
    <t>@grahammewburn</t>
  </si>
  <si>
    <t>@taruveeravenkatamaruthisum928</t>
  </si>
  <si>
    <t>@olgagryniuk5266</t>
  </si>
  <si>
    <t>@moxl1234</t>
  </si>
  <si>
    <t>@notanumber6</t>
  </si>
  <si>
    <t>@jamesesselman283</t>
  </si>
  <si>
    <t>@hillviewmews</t>
  </si>
  <si>
    <t>@billisaacs702</t>
  </si>
  <si>
    <t>@eclipsenow5431</t>
  </si>
  <si>
    <t>@etfacetimehome</t>
  </si>
  <si>
    <t>@AntonelNeculai</t>
  </si>
  <si>
    <t>@marinostsalis314</t>
  </si>
  <si>
    <t>@althe</t>
  </si>
  <si>
    <t>@tosseway145</t>
  </si>
  <si>
    <t>@Apjooz</t>
  </si>
  <si>
    <t>@TheGoodContent37</t>
  </si>
  <si>
    <t>@CraftyF0X</t>
  </si>
  <si>
    <t>@bradwilli1</t>
  </si>
  <si>
    <t>@fjj1776</t>
  </si>
  <si>
    <t>@geraldgreenman4715</t>
  </si>
  <si>
    <t>@cammus</t>
  </si>
  <si>
    <t>@robinschaufler444</t>
  </si>
  <si>
    <t>@mark-ui8lu</t>
  </si>
  <si>
    <t>@Constantin_Sime</t>
  </si>
  <si>
    <t>@timothyvincent7371</t>
  </si>
  <si>
    <t>@stevenjbernard</t>
  </si>
  <si>
    <t>@davidwelty9763</t>
  </si>
  <si>
    <t>@galoalbertosantanaruiz5737</t>
  </si>
  <si>
    <t>@seaplaneguy7747</t>
  </si>
  <si>
    <t>@gregmckenzie4315</t>
  </si>
  <si>
    <t>@jemezname2259</t>
  </si>
  <si>
    <t>@viablerenewable1638</t>
  </si>
  <si>
    <t>@MB-ub5ns</t>
  </si>
  <si>
    <t>@Lee-Van-Cle</t>
  </si>
  <si>
    <t>@danielecorwin</t>
  </si>
  <si>
    <t>@xchopp</t>
  </si>
  <si>
    <t>@volta2aire</t>
  </si>
  <si>
    <t>@robertotessare</t>
  </si>
  <si>
    <t>@ASTER15K</t>
  </si>
  <si>
    <t>@stuartslyper1479</t>
  </si>
  <si>
    <t>@jasonmcintosh2632</t>
  </si>
  <si>
    <t>@florianlinhart3782</t>
  </si>
  <si>
    <t>@stanmitchell3375</t>
  </si>
  <si>
    <t>@user-gv9qz4dg9l</t>
  </si>
  <si>
    <t>@user-yv4gg7jb2f</t>
  </si>
  <si>
    <t>@thomasmerlin4990</t>
  </si>
  <si>
    <t>@unlocking_potential123</t>
  </si>
  <si>
    <t>@DanWright051691</t>
  </si>
  <si>
    <t>@classicalmechanic8914</t>
  </si>
  <si>
    <t>@darrenmurray861</t>
  </si>
  <si>
    <t>@musaffa</t>
  </si>
  <si>
    <t>@user-sd1tf1dn2n</t>
  </si>
  <si>
    <t>@simanaken8400</t>
  </si>
  <si>
    <t>@10InchSnow</t>
  </si>
  <si>
    <t>@user-wo4kh6du3e</t>
  </si>
  <si>
    <t>@shanemitchell5807</t>
  </si>
  <si>
    <t>@wudubora</t>
  </si>
  <si>
    <t>@yemin8392</t>
  </si>
  <si>
    <t>@irvanfatarwinlubis9557</t>
  </si>
  <si>
    <t>@martinluchner2067</t>
  </si>
  <si>
    <t>@chrislambaa7586</t>
  </si>
  <si>
    <t>@JOSMINCHERIAN</t>
  </si>
  <si>
    <t>@KoenDeJaeger</t>
  </si>
  <si>
    <t>@kevinmangold9857</t>
  </si>
  <si>
    <t>@mkuc6951</t>
  </si>
  <si>
    <t>@Kai-ic4mp</t>
  </si>
  <si>
    <t>@bisishah5726</t>
  </si>
  <si>
    <t>@DeutscheWindtechnik</t>
  </si>
  <si>
    <t>@nagarajuyarra1183</t>
  </si>
  <si>
    <t>@brianbb0208</t>
  </si>
  <si>
    <t>@camilkegels3640</t>
  </si>
  <si>
    <t>@user-pf7sl7ko6s</t>
  </si>
  <si>
    <t>@user-nt4wv7me4g</t>
  </si>
  <si>
    <t>@Niwaduwata</t>
  </si>
  <si>
    <t>@SamsungA04e-dp7kj</t>
  </si>
  <si>
    <t>@MohamedRedhaHlm-bt5st</t>
  </si>
  <si>
    <t>@mdsohajgazi6687</t>
  </si>
  <si>
    <t>@nouritahanpour6667</t>
  </si>
  <si>
    <t>@georgestreicher252</t>
  </si>
  <si>
    <t>@ssruiimxwaeeayezbbttirvorg9372</t>
  </si>
  <si>
    <t>@AttilaZoltano</t>
  </si>
  <si>
    <t>@matthewbaynham6286</t>
  </si>
  <si>
    <t>@md.harunorrashid2117</t>
  </si>
  <si>
    <t>@RajabNatshah</t>
  </si>
  <si>
    <t>@sariwidyanti8</t>
  </si>
  <si>
    <t>@user-jl5wj3cl8q</t>
  </si>
  <si>
    <t>@karenfreeman1601</t>
  </si>
  <si>
    <t>@ladyravenlove</t>
  </si>
  <si>
    <t>@user-ug6ct5cv1h</t>
  </si>
  <si>
    <t>@vasukinagabhushan</t>
  </si>
  <si>
    <t>@user-ry1pb9mw4r</t>
  </si>
  <si>
    <t>@IceglacierArnar</t>
  </si>
  <si>
    <t>@md.al-aminhossain6626</t>
  </si>
  <si>
    <t>@JeremyMcGuire-mq3ye</t>
  </si>
  <si>
    <t>@FlameofDemocracy</t>
  </si>
  <si>
    <t>@Volp24k</t>
  </si>
  <si>
    <t>@tattsun999</t>
  </si>
  <si>
    <t>@arturasstatkus8613</t>
  </si>
  <si>
    <t>@donnamarie3617</t>
  </si>
  <si>
    <t>@mygamingnmore</t>
  </si>
  <si>
    <t>@sabourm1573</t>
  </si>
  <si>
    <t>@jeromedowning6843</t>
  </si>
  <si>
    <t>@crofter</t>
  </si>
  <si>
    <t>@c.adamczewski9462</t>
  </si>
  <si>
    <t>@lolTeos</t>
  </si>
  <si>
    <t>@user-jn7et9ve9z</t>
  </si>
  <si>
    <t>@DecipheringStories</t>
  </si>
  <si>
    <t>@wumao990</t>
  </si>
  <si>
    <t>@oceanthirteen1628</t>
  </si>
  <si>
    <t>@khanlatiful</t>
  </si>
  <si>
    <t>@ValMartinIreland</t>
  </si>
  <si>
    <t>@radorad446</t>
  </si>
  <si>
    <t>@hrvojeleko5847</t>
  </si>
  <si>
    <t>@masquereseau5635</t>
  </si>
  <si>
    <t>@Fazzrito</t>
  </si>
  <si>
    <t>@abdulqayumkhan3992</t>
  </si>
  <si>
    <t>@resilientfarmsanddesignstu1702</t>
  </si>
  <si>
    <t>@francefarms</t>
  </si>
  <si>
    <t>@noahearl9666</t>
  </si>
  <si>
    <t>@MirimeIsiliel</t>
  </si>
  <si>
    <t>@gregoriovaldivia9893</t>
  </si>
  <si>
    <t>@man08839</t>
  </si>
  <si>
    <t>@freedom8480</t>
  </si>
  <si>
    <t>@tomslattery123</t>
  </si>
  <si>
    <t>@artixsweden</t>
  </si>
  <si>
    <t>@ResizeFilms</t>
  </si>
  <si>
    <t>@fabianandresarmendariz4848</t>
  </si>
  <si>
    <t>@lubanskigornik282</t>
  </si>
  <si>
    <t>@neilgrieve6629</t>
  </si>
  <si>
    <t>@ramontrevinosantoyo3303</t>
  </si>
  <si>
    <t>@cosminmorga1331</t>
  </si>
  <si>
    <t>@ataturk5469</t>
  </si>
  <si>
    <t>@claudecyr8502</t>
  </si>
  <si>
    <t>@willrino</t>
  </si>
  <si>
    <t>@gabrielmizrachi9826</t>
  </si>
  <si>
    <t>@jeremysmith6611</t>
  </si>
  <si>
    <t>@funNstuff</t>
  </si>
  <si>
    <t>@sbuck7925</t>
  </si>
  <si>
    <t>@vamouscolombia</t>
  </si>
  <si>
    <t>@nord98</t>
  </si>
  <si>
    <t>@abcdef8915</t>
  </si>
  <si>
    <t>@reinphilips7063</t>
  </si>
  <si>
    <t>@awai5600</t>
  </si>
  <si>
    <t>@robinmasters2530</t>
  </si>
  <si>
    <t>@thepragmaticinvestor</t>
  </si>
  <si>
    <t>@EyjolfurGislason</t>
  </si>
  <si>
    <t>@Billy97ify</t>
  </si>
  <si>
    <t>@raulotanohurtado2294</t>
  </si>
  <si>
    <t>@royston6033</t>
  </si>
  <si>
    <t>@Bezeoner</t>
  </si>
  <si>
    <t>@ParagRatanpara</t>
  </si>
  <si>
    <t>@chuckh8128</t>
  </si>
  <si>
    <t>@beltransimo2843</t>
  </si>
  <si>
    <t>@ingridvondermarwitz4691</t>
  </si>
  <si>
    <t>@erikgroom</t>
  </si>
  <si>
    <t>@jamesbarlow7746</t>
  </si>
  <si>
    <t>@IceGamingShorts3</t>
  </si>
  <si>
    <t>@brianthompson9542</t>
  </si>
  <si>
    <t>@nickrossetto7804</t>
  </si>
  <si>
    <t>@ruslankryvetskyi3913</t>
  </si>
  <si>
    <t>@taperars</t>
  </si>
  <si>
    <t>@cliffwilliams8616</t>
  </si>
  <si>
    <t>@davestagner</t>
  </si>
  <si>
    <t>@srb1855</t>
  </si>
  <si>
    <t>@corstianprosman2986</t>
  </si>
  <si>
    <t>@roz1052</t>
  </si>
  <si>
    <t>@h.e.hazelhorst9838</t>
  </si>
  <si>
    <t>@colinmegson7721</t>
  </si>
  <si>
    <t>@user-wh6io1zb8e</t>
  </si>
  <si>
    <t>@sethdenison7785</t>
  </si>
  <si>
    <t>@paulbernstein2864</t>
  </si>
  <si>
    <t>@hattonjc</t>
  </si>
  <si>
    <t>@alhuillier</t>
  </si>
  <si>
    <t>@robgee2000</t>
  </si>
  <si>
    <t>@Ilovekudaliniyoga</t>
  </si>
  <si>
    <t>@diogocortesluz1484</t>
  </si>
  <si>
    <t>@heathmulholland1228</t>
  </si>
  <si>
    <t>@danconstructive5229</t>
  </si>
  <si>
    <t>@fullstrum</t>
  </si>
  <si>
    <t>@JA-zh5xi</t>
  </si>
  <si>
    <t>@davidconrad1571</t>
  </si>
  <si>
    <t>@kylehoorn5192</t>
  </si>
  <si>
    <t>@bokim3270</t>
  </si>
  <si>
    <t>@amanonfire4him</t>
  </si>
  <si>
    <t>@johnatonic7080</t>
  </si>
  <si>
    <t>@saranbhatia8809</t>
  </si>
  <si>
    <t>@kaymish6178</t>
  </si>
  <si>
    <t>@LibertarianRF</t>
  </si>
  <si>
    <t>@esengtv201</t>
  </si>
  <si>
    <t>@oleksandrholovko131</t>
  </si>
  <si>
    <t>@kyleor7</t>
  </si>
  <si>
    <t>@danielcohen9777</t>
  </si>
  <si>
    <t>@tristan7216</t>
  </si>
  <si>
    <t>@davidwood1641</t>
  </si>
  <si>
    <t>@herbigp</t>
  </si>
  <si>
    <t>@roberttrevena8817</t>
  </si>
  <si>
    <t>@kevinpadden3997</t>
  </si>
  <si>
    <t>@matthat8125</t>
  </si>
  <si>
    <t>@costaselgreco</t>
  </si>
  <si>
    <t>@cyrusaugustus4640</t>
  </si>
  <si>
    <t>@1voluntaryist</t>
  </si>
  <si>
    <t>@johndinsdale1707</t>
  </si>
  <si>
    <t>@danielbernstein5560</t>
  </si>
  <si>
    <t>@Jan65NL</t>
  </si>
  <si>
    <t>@Viktor_Raskat</t>
  </si>
  <si>
    <t>@EgaBeava</t>
  </si>
  <si>
    <t>@MariaSantos-uu2bk</t>
  </si>
  <si>
    <t>@user-cg5db6we4t</t>
  </si>
  <si>
    <t>@chiara2897</t>
  </si>
  <si>
    <t>@tommash.r.2606</t>
  </si>
  <si>
    <t>@butternmayo</t>
  </si>
  <si>
    <t>@Ballistichydrant</t>
  </si>
  <si>
    <t>@yakovgoldberg7108</t>
  </si>
  <si>
    <t>@digsnz</t>
  </si>
  <si>
    <t>@jamesvillacorta1713</t>
  </si>
  <si>
    <t>@robertrodzoch942</t>
  </si>
  <si>
    <t>@jessehiott672</t>
  </si>
  <si>
    <t>@perobusmaximus</t>
  </si>
  <si>
    <t>@davi8515</t>
  </si>
  <si>
    <t>@TotalIgnition</t>
  </si>
  <si>
    <t>@victorsilla3624</t>
  </si>
  <si>
    <t>@michaelchant2123</t>
  </si>
  <si>
    <t>@DAVID-io9nj</t>
  </si>
  <si>
    <t>@feman43</t>
  </si>
  <si>
    <t>@michalfaraday8135</t>
  </si>
  <si>
    <t>sgOEGKDVvsg</t>
  </si>
  <si>
    <t>AMOoO0p0Tbw</t>
  </si>
  <si>
    <t>gLvkWpnzba8</t>
  </si>
  <si>
    <t>E39neWnw9AA</t>
  </si>
  <si>
    <t>yBF2fGUO5cQ</t>
  </si>
  <si>
    <t>FdMiVnA6Az0</t>
  </si>
  <si>
    <t>U2dUwmXMLpw</t>
  </si>
  <si>
    <t>za6dE5JrNB0</t>
  </si>
  <si>
    <t>UVf2Yw7uFoE</t>
  </si>
  <si>
    <t>75c-kHKv0O4</t>
  </si>
  <si>
    <t>Pgq_CODucg0</t>
  </si>
  <si>
    <t>EAU5D8hqIUI</t>
  </si>
  <si>
    <t>0Q2IW7UEclI</t>
  </si>
  <si>
    <t>VWRcjEbcNVQ</t>
  </si>
  <si>
    <t>CZkUEepNKRA</t>
  </si>
  <si>
    <t>WuDCQngEGG8</t>
  </si>
  <si>
    <t>hjhbMuaXdfM</t>
  </si>
  <si>
    <t>ODk-rVq-5a0</t>
  </si>
  <si>
    <t>none</t>
  </si>
  <si>
    <t xml:space="preserve"> https://www.youtube.com/watch?v=5HL1BEC024g https://www.youtube.com/watch?v=5HL1BEC024g</t>
  </si>
  <si>
    <t xml:space="preserve"> https://www.youtube.com/watch?v=sgOEGKDVvsg&amp;amp;t=26m30s https://www.youtube.com/watch?v=sgOEGKDVvsg&amp;amp;t=26m38s</t>
  </si>
  <si>
    <t xml:space="preserve"> https://www.youtube.com/watch?v=sgOEGKDVvsg&amp;amp;t=19m52s</t>
  </si>
  <si>
    <t xml:space="preserve"> https://www.youtube.com/watch?v=v2nhssPW77I&amp;amp;t=1s https://www.youtube.com/watch?v=v2nhssPW77I&amp;amp;t=1s</t>
  </si>
  <si>
    <t xml:space="preserve"> https://www.youtube.com/watch?v=gLvkWpnzba8&amp;amp;t=02m02s</t>
  </si>
  <si>
    <t xml:space="preserve"> https://www.youtube.com/watch?v=gLvkWpnzba8&amp;amp;t=23m43s</t>
  </si>
  <si>
    <t xml:space="preserve"> https://www.greentechmedia.com/articles/read/americas-concentrated-solar-power-companies-have-all-but-disappeared https://www.greentechmedia.com/articles/read/americas-concentrated-solar-power-companies-have-all-but-disappeared</t>
  </si>
  <si>
    <t xml:space="preserve"> https://www.youtube.com/watch?v=gLvkWpnzba8&amp;amp;t=3m19s https://www.youtube.com/watch?v=gLvkWpnzba8&amp;amp;t=3m20s</t>
  </si>
  <si>
    <t xml:space="preserve"> https://www.youtube.com/watch?v=G3GDuCF_pbI https://www.youtube.com/watch?v=G3GDuCF_pbI https://www.youtube.com/watch?v=MlTnMbGVRlw https://www.youtube.com/watch?v=MlTnMbGVRlw https://www.youtube.com/watch?v=gl2OcZpTKqE https://www.youtube.com/watch?v=gl2OcZpTKqE https://www.youtube.com/watch?v=KehRZMSIwSw https://www.youtube.com/watch?v=KehRZMSIwSw https://www.youtube.com/watch?v=W0PJcRLzmdU https://www.youtube.com/watch?v=W0PJcRLzmdU https://www.youtube.com/watch?v=ic03mjYxPBc https://www.youtube.com/watch?v=ic03mjYxPBc https://www.youtube.com/watch?v=_4OniZKnIv4 https://www.youtube.com/watch?v=_4OniZKnIv4 https://www.youtube.com/watch?v=PhTynXqTdeY https://www.youtube.com/watch?v=PhTynXqTdeY https://www.youtube.com/watch?v=ydSKmaCewo4 https://www.youtube.com/watch?v=ydSKmaCewo4 https://www.youtube.com/watch?v=6qtdM6vQSvo https://www.youtube.com/watch?v=6qtdM6vQSvo https://www.youtube.com/watch?v=MaA0-ulhEMY https://www.youtube.com/watch?v=MaA0-ulhEMY https://www.youtube.com/watch?v=0pseygWgdGo&amp;amp;t=23s https://www.youtube.com/watch?v=0pseygWgdGo&amp;amp;t=23s https://www.youtube.com/watch?v=kb3bGJVmrsE https://www.youtube.com/watch?v=kb3bGJVmrsE https://www.youtube.com/watch?v=igWY1-waFt0 https://www.youtube.com/watch?v=igWY1-waFt0 https://www.youtube.com/watch?v=USXohf2Wp_0 https://www.youtube.com/watch?v=USXohf2Wp_0 https://www.youtube.com/watch?v=S1mUjLAHOF4 https://www.youtube.com/watch?v=S1mUjLAHOF4 https://www.youtube.com/watch?v=vvAOiJ6wxj0 https://www.youtube.com/watch?v=vvAOiJ6wxj0</t>
  </si>
  <si>
    <t xml:space="preserve"> https://www.youtube.com/watch?v=E39neWnw9AA&amp;amp;t=2m43s https://www.youtube.com/watch?v=E39neWnw9AA&amp;amp;t=5m37s</t>
  </si>
  <si>
    <t xml:space="preserve"> 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</si>
  <si>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 xml:space="preserve"> https://www.youtube.com/watch?v=htoNuyYjNwg https://www.youtube.com/watch?v=htoNuyYjNwg</t>
  </si>
  <si>
    <t xml:space="preserve"> https://www.youtube.com/watch?v=yBF2fGUO5cQ&amp;amp;t=8m52s</t>
  </si>
  <si>
    <t xml:space="preserve"> https://www.energymonitor.ai/tech/renewables/europe-renewables-in-2022-in-five-charts-and-what-to-expect-in-2023 https://www.energymonitor.ai/tech/renewables/europe-renewables-in-2022-in-five-charts-and-what-to-expect-in-2023 https://www.cleanairalliance.org/old-and-unsafe https://www.cleanairalliance.org/old-and-unsafe</t>
  </si>
  <si>
    <t xml:space="preserve"> http://farts.no/</t>
  </si>
  <si>
    <t xml:space="preserve"> https://www.youtube.com/watch?v=FdMiVnA6Az0&amp;amp;t=10m11s</t>
  </si>
  <si>
    <t xml:space="preserve"> https://youtu.be/YbnXMv19Hck?si=BRAmhFMIqKkn0-aO https://youtu.be/YbnXMv19Hck?si=BRAmhFMIqKkn0-aO</t>
  </si>
  <si>
    <t xml:space="preserve">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</si>
  <si>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 xml:space="preserve"> https://www.youtube.com/watch?v=_bAfHi_rH7Y https://www.youtube.com/watch?v=_bAfHi_rH7Y</t>
  </si>
  <si>
    <t xml:space="preserve"> https://youtu.be/GtgaXD0Rr9g?si=aYXnyQXCB5uhyoI7 https://youtu.be/GtgaXD0Rr9g?si=aYXnyQXCB5uhyoI7</t>
  </si>
  <si>
    <t xml:space="preserve"> http://backup.at/</t>
  </si>
  <si>
    <t xml:space="preserve"> https://www.youtube.com/watch?v=za6dE5JrNB0&amp;amp;t=2m30s</t>
  </si>
  <si>
    <t xml:space="preserve"> https://www.youtube.com/watch?v=za6dE5JrNB0&amp;amp;t=13m00s</t>
  </si>
  <si>
    <t xml:space="preserve"> https://www.youtube.com/watch?v=UVf2Yw7uFoE&amp;amp;t=25m03s</t>
  </si>
  <si>
    <t xml:space="preserve"> https://www.youtube.com/watch?v=UVf2Yw7uFoE&amp;amp;t=33m10s</t>
  </si>
  <si>
    <t xml:space="preserve"> https://www.safa.sa.gov.au/environmental-s-governance/energy https://www.safa.sa.gov.au/environmental-s-governance/energy</t>
  </si>
  <si>
    <t xml:space="preserve"> https://www.youtube.com/watch?v=75c-kHKv0O4&amp;amp;t=10m30s</t>
  </si>
  <si>
    <t xml:space="preserve"> https://www.youtube.com/watch?v=75c-kHKv0O4&amp;amp;t=3m17s</t>
  </si>
  <si>
    <t>youtube.com youtube.com</t>
  </si>
  <si>
    <t>youtube.com</t>
  </si>
  <si>
    <t>greentechmedia.com greentechmedia.com</t>
  </si>
  <si>
    <t>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t>
  </si>
  <si>
    <t>youtube.com youtube.com youtube.com youtube.com youtube.com youtube.com youtube.com youtube.com</t>
  </si>
  <si>
    <t>energymonitor.ai energymonitor.ai cleanairalliance.org cleanairalliance.org</t>
  </si>
  <si>
    <t>farts.no</t>
  </si>
  <si>
    <t>youtu.be youtu.be</t>
  </si>
  <si>
    <t>backup.at</t>
  </si>
  <si>
    <t>gov.au gov.au</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</si>
  <si>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</si>
  <si>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</si>
  <si>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</si>
  <si>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</si>
  <si>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</si>
  <si>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</si>
  <si>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</si>
  <si>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</si>
  <si>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</si>
  <si>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</si>
  <si>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</si>
  <si>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</si>
  <si>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</si>
  <si>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</si>
  <si>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SKAGEN Fondene</t>
  </si>
  <si>
    <t>TihoDownTheTube</t>
  </si>
  <si>
    <t>Paul Whyte</t>
  </si>
  <si>
    <t>Nathan Williams</t>
  </si>
  <si>
    <t>MB Guy</t>
  </si>
  <si>
    <t>Yapostadodat</t>
  </si>
  <si>
    <t>Kurt Becker</t>
  </si>
  <si>
    <t>selador</t>
  </si>
  <si>
    <t>Jeff Mooridian, Jr</t>
  </si>
  <si>
    <t>Robert Ellingtom</t>
  </si>
  <si>
    <t>425 Z</t>
  </si>
  <si>
    <t>James Ruscheinski</t>
  </si>
  <si>
    <t>Cole Sonafrank</t>
  </si>
  <si>
    <t>George T</t>
  </si>
  <si>
    <t>Camelot</t>
  </si>
  <si>
    <t>Daylight</t>
  </si>
  <si>
    <t>Adrian Docherty</t>
  </si>
  <si>
    <t>Kimani Maina</t>
  </si>
  <si>
    <t>André Balsa</t>
  </si>
  <si>
    <t>martinutr</t>
  </si>
  <si>
    <t>Paul Starr</t>
  </si>
  <si>
    <t>Francis Tucker Manns</t>
  </si>
  <si>
    <t>Archibald Noah</t>
  </si>
  <si>
    <t>Beach Diver</t>
  </si>
  <si>
    <t>Damremont18</t>
  </si>
  <si>
    <t>Brad</t>
  </si>
  <si>
    <t>Jason Moonchild</t>
  </si>
  <si>
    <t>Iani Thompson</t>
  </si>
  <si>
    <t>Rob Patterson</t>
  </si>
  <si>
    <t>TBone MC</t>
  </si>
  <si>
    <t>Alien Drone Services</t>
  </si>
  <si>
    <t>David</t>
  </si>
  <si>
    <t>Paul Kiernan</t>
  </si>
  <si>
    <t>Mark Miller</t>
  </si>
  <si>
    <t>tatradak</t>
  </si>
  <si>
    <t>EricR</t>
  </si>
  <si>
    <t>Brian Wark</t>
  </si>
  <si>
    <t>Ralph Toivonen</t>
  </si>
  <si>
    <t>YO3A007</t>
  </si>
  <si>
    <t>Bob Beck</t>
  </si>
  <si>
    <t>Jon B</t>
  </si>
  <si>
    <t>Jp Labrecque</t>
  </si>
  <si>
    <t>Brett d</t>
  </si>
  <si>
    <t>S A</t>
  </si>
  <si>
    <t>Gracie</t>
  </si>
  <si>
    <t>Amadeus Guy</t>
  </si>
  <si>
    <t>Mike Franz</t>
  </si>
  <si>
    <t>Cybertruck Mike</t>
  </si>
  <si>
    <t>Sue Warman</t>
  </si>
  <si>
    <t>Charles Lyster</t>
  </si>
  <si>
    <t>johnmosheim</t>
  </si>
  <si>
    <t>Jeff Harmed</t>
  </si>
  <si>
    <t>Kerry Shacklett</t>
  </si>
  <si>
    <t>Phil Ostrand</t>
  </si>
  <si>
    <t>Isaac Ramirez Baeza</t>
  </si>
  <si>
    <t>WSJ News</t>
  </si>
  <si>
    <t>Matthew W</t>
  </si>
  <si>
    <t>Zen 1</t>
  </si>
  <si>
    <t>BBC News</t>
  </si>
  <si>
    <t>Son of Somerset</t>
  </si>
  <si>
    <t>Borneo Life</t>
  </si>
  <si>
    <t>ks</t>
  </si>
  <si>
    <t>Babalonkie</t>
  </si>
  <si>
    <t>Tib Syy</t>
  </si>
  <si>
    <t>Kena LV</t>
  </si>
  <si>
    <t>Rafael</t>
  </si>
  <si>
    <t>Lloyd Jones</t>
  </si>
  <si>
    <t>Veronica Hoyos-Leonard</t>
  </si>
  <si>
    <t>Amos Batto</t>
  </si>
  <si>
    <t>KnightBlue Yan</t>
  </si>
  <si>
    <t>Simon Bowman</t>
  </si>
  <si>
    <t>kiwidenk</t>
  </si>
  <si>
    <t>Mickskov</t>
  </si>
  <si>
    <t>Bob Bresnahan</t>
  </si>
  <si>
    <t>neverrl</t>
  </si>
  <si>
    <t>P TS</t>
  </si>
  <si>
    <t>A3Kr0n</t>
  </si>
  <si>
    <t>Jeffrey Roberts</t>
  </si>
  <si>
    <t>fernando reis</t>
  </si>
  <si>
    <t>Nick Schroeder</t>
  </si>
  <si>
    <t>Gaming Tonight</t>
  </si>
  <si>
    <t>Firechief Sam Politano</t>
  </si>
  <si>
    <t>FelipeArbustopotd</t>
  </si>
  <si>
    <t>Fair.D</t>
  </si>
  <si>
    <t>Alex Velasco</t>
  </si>
  <si>
    <t>Tiago da Silva</t>
  </si>
  <si>
    <t>juan carlos dominguez</t>
  </si>
  <si>
    <t>Vance H</t>
  </si>
  <si>
    <t>Muonium</t>
  </si>
  <si>
    <t>tarant315</t>
  </si>
  <si>
    <t>Elijah Freeman</t>
  </si>
  <si>
    <t>Ashish bhatia</t>
  </si>
  <si>
    <t>Semper Fi</t>
  </si>
  <si>
    <t>Abdelkaioum Bouaicha</t>
  </si>
  <si>
    <t>media boxtv</t>
  </si>
  <si>
    <t>Ihsan ullah khan</t>
  </si>
  <si>
    <t>farber2</t>
  </si>
  <si>
    <t>Julian Pieniazek</t>
  </si>
  <si>
    <t>Joe McCarthy</t>
  </si>
  <si>
    <t>Zauren Stoates</t>
  </si>
  <si>
    <t>fred flintstoner</t>
  </si>
  <si>
    <t>themightykabool</t>
  </si>
  <si>
    <t>loveLTi</t>
  </si>
  <si>
    <t>Vijay Mujumdar</t>
  </si>
  <si>
    <t>Brian Wilson</t>
  </si>
  <si>
    <t>industrial monk</t>
  </si>
  <si>
    <t>Valdis Filks</t>
  </si>
  <si>
    <t>English Blend</t>
  </si>
  <si>
    <t>Timothy Engberg</t>
  </si>
  <si>
    <t>AR LGD</t>
  </si>
  <si>
    <t>Dreadnought16</t>
  </si>
  <si>
    <t>John Furey</t>
  </si>
  <si>
    <t>prophetsnake</t>
  </si>
  <si>
    <t>sandponics</t>
  </si>
  <si>
    <t>peter dollins</t>
  </si>
  <si>
    <t>compostjohn</t>
  </si>
  <si>
    <t>H Holton</t>
  </si>
  <si>
    <t>Stephanie Ghali</t>
  </si>
  <si>
    <t>Pete Phone</t>
  </si>
  <si>
    <t>Pargev Karapetyan</t>
  </si>
  <si>
    <t>Floris Benniks</t>
  </si>
  <si>
    <t>Trent Spriggs</t>
  </si>
  <si>
    <t>Sam Hadlington</t>
  </si>
  <si>
    <t>Cherokez Pittman</t>
  </si>
  <si>
    <t>Happy Lady</t>
  </si>
  <si>
    <t>Fantasy Forum</t>
  </si>
  <si>
    <t>Suburp212</t>
  </si>
  <si>
    <t>Christopher W Herbert</t>
  </si>
  <si>
    <t>SUNJAY SUNJAY</t>
  </si>
  <si>
    <t>Guardian presence Robotics</t>
  </si>
  <si>
    <t>Ivan</t>
  </si>
  <si>
    <t>Will-Fully Blind or Will-fully Stupid</t>
  </si>
  <si>
    <t>武井正二</t>
  </si>
  <si>
    <t>PINOY YOUTUBE BLAST</t>
  </si>
  <si>
    <t>Joseph Lau's English Learning Journal</t>
  </si>
  <si>
    <t>nigel pitsch</t>
  </si>
  <si>
    <t>Corey Smith</t>
  </si>
  <si>
    <t>N33T0 K1M</t>
  </si>
  <si>
    <t>Philip Tripcony</t>
  </si>
  <si>
    <t>Technical Shivam</t>
  </si>
  <si>
    <t>Alan McRae</t>
  </si>
  <si>
    <t>Peter Kramer</t>
  </si>
  <si>
    <t>Justine Kunobe</t>
  </si>
  <si>
    <t>DRACO_xD83D__xDC0D_SPOTTING_xD83D__xDD3A_️</t>
  </si>
  <si>
    <t>Ibrahim Sued</t>
  </si>
  <si>
    <t>The Economist</t>
  </si>
  <si>
    <t>VK4VO Shaun</t>
  </si>
  <si>
    <t>white4571</t>
  </si>
  <si>
    <t>bikenut7777</t>
  </si>
  <si>
    <t>A Ramos</t>
  </si>
  <si>
    <t>gamefever90</t>
  </si>
  <si>
    <t>Serge Pavlovsky</t>
  </si>
  <si>
    <t>Solexx X</t>
  </si>
  <si>
    <t>earthflute</t>
  </si>
  <si>
    <t>Patrick Duffy</t>
  </si>
  <si>
    <t>Chris W</t>
  </si>
  <si>
    <t>Joe Bloggs</t>
  </si>
  <si>
    <t>Erik Kovacs</t>
  </si>
  <si>
    <t>Lokman Merican</t>
  </si>
  <si>
    <t>Mark Campbell</t>
  </si>
  <si>
    <t xml:space="preserve"> Ivan Dimitrov Ivanov</t>
  </si>
  <si>
    <t>John McLean</t>
  </si>
  <si>
    <t>atlancia ZA</t>
  </si>
  <si>
    <t>Rex t</t>
  </si>
  <si>
    <t>AresThePacifist</t>
  </si>
  <si>
    <t>Andrey Tarasevich</t>
  </si>
  <si>
    <t>blugreen99</t>
  </si>
  <si>
    <t>Roman Regman</t>
  </si>
  <si>
    <t>Tipperary Mick</t>
  </si>
  <si>
    <t>Dj671993</t>
  </si>
  <si>
    <t>Ladislav Toman</t>
  </si>
  <si>
    <t>Vincent Robinette</t>
  </si>
  <si>
    <t>Micklenier</t>
  </si>
  <si>
    <t>J'ai plus de nom</t>
  </si>
  <si>
    <t>Lawrence Heyman</t>
  </si>
  <si>
    <t>Pica Pica</t>
  </si>
  <si>
    <t>Paddy McElligott</t>
  </si>
  <si>
    <t>Claudio Donato</t>
  </si>
  <si>
    <t>Richard Tierney</t>
  </si>
  <si>
    <t>Dave Johnson</t>
  </si>
  <si>
    <t>Alex Mintz</t>
  </si>
  <si>
    <t>10 O'Swords</t>
  </si>
  <si>
    <t>Michael Shafer</t>
  </si>
  <si>
    <t>Mark Gemmell</t>
  </si>
  <si>
    <t>Richard Weyland</t>
  </si>
  <si>
    <t>Ehon Bahr</t>
  </si>
  <si>
    <t>Samurai</t>
  </si>
  <si>
    <t>HadrienLBB</t>
  </si>
  <si>
    <t>Dung Nguyen</t>
  </si>
  <si>
    <t>CCx</t>
  </si>
  <si>
    <t>Daveslow</t>
  </si>
  <si>
    <t>robert100xx</t>
  </si>
  <si>
    <t>Billy The Kid</t>
  </si>
  <si>
    <t>David Diéguez</t>
  </si>
  <si>
    <t>Shashashasha</t>
  </si>
  <si>
    <t>_AtA_</t>
  </si>
  <si>
    <t>Nxxx x</t>
  </si>
  <si>
    <t>JLeet</t>
  </si>
  <si>
    <t>Tse Hong Ling</t>
  </si>
  <si>
    <t>Cedric Eveleigh</t>
  </si>
  <si>
    <t>Planet Hopper</t>
  </si>
  <si>
    <t>Luis Filipe Ferreira</t>
  </si>
  <si>
    <t>Gurpreet Singh Gill</t>
  </si>
  <si>
    <t>Nathan Ngumi</t>
  </si>
  <si>
    <t>Corey Leander</t>
  </si>
  <si>
    <t>Vital-Club Consulting Ltd.</t>
  </si>
  <si>
    <t>Pavel Yahorau</t>
  </si>
  <si>
    <t>Afsaroseli</t>
  </si>
  <si>
    <t>Niet Ingevuld</t>
  </si>
  <si>
    <t>Daniel Caceres</t>
  </si>
  <si>
    <t>MotorDetroit</t>
  </si>
  <si>
    <t>SBD Tech</t>
  </si>
  <si>
    <t>Dianna Dima</t>
  </si>
  <si>
    <t>НОКИ. VSE-OCENIM ru // Оценка недвижимости, бизнеса</t>
  </si>
  <si>
    <t>Jai Chaubey</t>
  </si>
  <si>
    <t>Lex</t>
  </si>
  <si>
    <t>greg ward</t>
  </si>
  <si>
    <t>ddvantandar</t>
  </si>
  <si>
    <t>PF</t>
  </si>
  <si>
    <t>TecuciMustard</t>
  </si>
  <si>
    <t>M P</t>
  </si>
  <si>
    <t>alexlawcb</t>
  </si>
  <si>
    <t>UsmanYousaf</t>
  </si>
  <si>
    <t>YASH PANCHAL</t>
  </si>
  <si>
    <t>Viktor Melher</t>
  </si>
  <si>
    <t>Tim Ogul</t>
  </si>
  <si>
    <t>M Oliveira</t>
  </si>
  <si>
    <t>nicholas stibbs</t>
  </si>
  <si>
    <t>korth26</t>
  </si>
  <si>
    <t>Iggie Dalrymple</t>
  </si>
  <si>
    <t>Pioter Nietz</t>
  </si>
  <si>
    <t>Murat Eren</t>
  </si>
  <si>
    <t>M g</t>
  </si>
  <si>
    <t>ab ba</t>
  </si>
  <si>
    <t>0 Steber</t>
  </si>
  <si>
    <t>sanuj krishnan</t>
  </si>
  <si>
    <t>THE MK7</t>
  </si>
  <si>
    <t>Wong Siew Kok 黄修國</t>
  </si>
  <si>
    <t>Energy Transition Crisis</t>
  </si>
  <si>
    <t>Stephen Cuskley</t>
  </si>
  <si>
    <t>Stuart Holehouse</t>
  </si>
  <si>
    <t>rrrrrrktjtj</t>
  </si>
  <si>
    <t>tspidey007</t>
  </si>
  <si>
    <t>M Griff</t>
  </si>
  <si>
    <t>Aaron Norton</t>
  </si>
  <si>
    <t>Ravi Ramanathan</t>
  </si>
  <si>
    <t>GD</t>
  </si>
  <si>
    <t>YouTube Steve</t>
  </si>
  <si>
    <t>Bjorn Hojgaard</t>
  </si>
  <si>
    <t>Dimitri Tzifas</t>
  </si>
  <si>
    <t>Richard Ford</t>
  </si>
  <si>
    <t>Kobie B</t>
  </si>
  <si>
    <t>Stanley Tolle</t>
  </si>
  <si>
    <t>Buran01</t>
  </si>
  <si>
    <t>Karl Swanson</t>
  </si>
  <si>
    <t>The Wise Person</t>
  </si>
  <si>
    <t>Mohd. Saifullah Majid</t>
  </si>
  <si>
    <t>Patrick Sullivan</t>
  </si>
  <si>
    <t>Peter Azlac</t>
  </si>
  <si>
    <t>Chintala lokesh</t>
  </si>
  <si>
    <t>Roger Habets</t>
  </si>
  <si>
    <t>Michael Mullen</t>
  </si>
  <si>
    <t>Eric Liu</t>
  </si>
  <si>
    <t>Paul Taylor</t>
  </si>
  <si>
    <t>Jeff Mosk</t>
  </si>
  <si>
    <t>Greg</t>
  </si>
  <si>
    <t>James Agerholm</t>
  </si>
  <si>
    <t>Charlotte Chloe</t>
  </si>
  <si>
    <t>Ben Chapple</t>
  </si>
  <si>
    <t>Alan Barbier</t>
  </si>
  <si>
    <t>Pete Wilson</t>
  </si>
  <si>
    <t>Acme Fixer</t>
  </si>
  <si>
    <t>Mark Nielsen</t>
  </si>
  <si>
    <t>Millennial Thinktank</t>
  </si>
  <si>
    <t>Giorgio Cooper</t>
  </si>
  <si>
    <t>Pup Tentacle</t>
  </si>
  <si>
    <t>Greg Barton</t>
  </si>
  <si>
    <t>Tom Mallard</t>
  </si>
  <si>
    <t>James Thompson</t>
  </si>
  <si>
    <t>William Hofford</t>
  </si>
  <si>
    <t>Lightning Rod</t>
  </si>
  <si>
    <t>Joachim Muller</t>
  </si>
  <si>
    <t>Albert Vidal</t>
  </si>
  <si>
    <t>J. S. Brown</t>
  </si>
  <si>
    <t>Tony Su</t>
  </si>
  <si>
    <t>Stanislav Tuss</t>
  </si>
  <si>
    <t>Tony Shipton</t>
  </si>
  <si>
    <t>Joe Pajtler</t>
  </si>
  <si>
    <t>Chapter 4 Travels</t>
  </si>
  <si>
    <t>Jogon</t>
  </si>
  <si>
    <t>Tom Gooch</t>
  </si>
  <si>
    <t>Alan Aronie</t>
  </si>
  <si>
    <t>Per-Olof Bergs</t>
  </si>
  <si>
    <t>SpaceTime Malleable</t>
  </si>
  <si>
    <t>Kurt Fischer</t>
  </si>
  <si>
    <t>Peter Kerling</t>
  </si>
  <si>
    <t>Phil Cooper</t>
  </si>
  <si>
    <t>Mike G</t>
  </si>
  <si>
    <t>Marian Vaneata</t>
  </si>
  <si>
    <t>JodStar</t>
  </si>
  <si>
    <t>AnyoneCanDoScience</t>
  </si>
  <si>
    <t>Willem Ooms</t>
  </si>
  <si>
    <t>Philip Wong</t>
  </si>
  <si>
    <t>Erbol Musabekov</t>
  </si>
  <si>
    <t>yooper87</t>
  </si>
  <si>
    <t xml:space="preserve">VAA_EU </t>
  </si>
  <si>
    <t>Maurits Dolmans</t>
  </si>
  <si>
    <t>Ryan Reeson</t>
  </si>
  <si>
    <t>Ben Jones</t>
  </si>
  <si>
    <t>Jakob Nybo</t>
  </si>
  <si>
    <t>alphablondy04</t>
  </si>
  <si>
    <t>John Kutsch</t>
  </si>
  <si>
    <t>smith brady</t>
  </si>
  <si>
    <t>Marcus Fleuti</t>
  </si>
  <si>
    <t>Sean Earnest</t>
  </si>
  <si>
    <t>Maximus Vesalius</t>
  </si>
  <si>
    <t>Russell Fine Arts</t>
  </si>
  <si>
    <t>Ron Morrell</t>
  </si>
  <si>
    <t>Scott MacLean</t>
  </si>
  <si>
    <t>Just Have a Think</t>
  </si>
  <si>
    <t>__</t>
  </si>
  <si>
    <t>C M</t>
  </si>
  <si>
    <t>Christian Faust</t>
  </si>
  <si>
    <t>Avinash Gore</t>
  </si>
  <si>
    <t>Fedor Butochnikow</t>
  </si>
  <si>
    <t>Михаил Видейко</t>
  </si>
  <si>
    <t>Anthony Morris</t>
  </si>
  <si>
    <t>bart thomassen thomassen</t>
  </si>
  <si>
    <t>disky</t>
  </si>
  <si>
    <t>Keith Martin</t>
  </si>
  <si>
    <t>Niels Anten</t>
  </si>
  <si>
    <t>Stewart Jones</t>
  </si>
  <si>
    <t>Winston Solipsist</t>
  </si>
  <si>
    <t>Paul Bong</t>
  </si>
  <si>
    <t>Mike Calverley</t>
  </si>
  <si>
    <t>Terence Harvey</t>
  </si>
  <si>
    <t>Alan Pritchard</t>
  </si>
  <si>
    <t>Tim Goodwin</t>
  </si>
  <si>
    <t>Slobber Dan</t>
  </si>
  <si>
    <t>Der Schröd</t>
  </si>
  <si>
    <t>Tyke No1</t>
  </si>
  <si>
    <t>wvhaugen</t>
  </si>
  <si>
    <t>Kiss Of Fire</t>
  </si>
  <si>
    <t>Gambit sheild</t>
  </si>
  <si>
    <t>M. E.</t>
  </si>
  <si>
    <t>Adrian Thoroughgood</t>
  </si>
  <si>
    <t>Daniel Sullivan</t>
  </si>
  <si>
    <t>Dave Froman</t>
  </si>
  <si>
    <t>Dejan Zatezalo</t>
  </si>
  <si>
    <t>Andrew Merkle</t>
  </si>
  <si>
    <t>Fleury Jean-François</t>
  </si>
  <si>
    <t>Samuel Soroaster</t>
  </si>
  <si>
    <t>Environmental As Anything</t>
  </si>
  <si>
    <t>John</t>
  </si>
  <si>
    <t>Franz Josef Straussß</t>
  </si>
  <si>
    <t>Steve Yorke</t>
  </si>
  <si>
    <t>ewaf88</t>
  </si>
  <si>
    <t>Seb H. Se</t>
  </si>
  <si>
    <t>sam D</t>
  </si>
  <si>
    <t>R.A.P.H</t>
  </si>
  <si>
    <t>Cognitive Dissonance</t>
  </si>
  <si>
    <t>Steve Randall</t>
  </si>
  <si>
    <t>Mark J F</t>
  </si>
  <si>
    <t>Robert Eachus</t>
  </si>
  <si>
    <t>Michael Malone</t>
  </si>
  <si>
    <t>Dan Watson</t>
  </si>
  <si>
    <t>Rohan Wright</t>
  </si>
  <si>
    <t>Reino Mustonen</t>
  </si>
  <si>
    <t>teklife</t>
  </si>
  <si>
    <t>Nathaniel Byrne</t>
  </si>
  <si>
    <t>SABO FX</t>
  </si>
  <si>
    <t>Matus Knives</t>
  </si>
  <si>
    <t>Dominvs qvi amat ancilla</t>
  </si>
  <si>
    <t>Edward Lawrence</t>
  </si>
  <si>
    <t>What tyler</t>
  </si>
  <si>
    <t>Armin Eser</t>
  </si>
  <si>
    <t>Tim Short</t>
  </si>
  <si>
    <t>DrDHailey</t>
  </si>
  <si>
    <t>greg eldridge</t>
  </si>
  <si>
    <t>Sparky Sho</t>
  </si>
  <si>
    <t>Shuai Ge</t>
  </si>
  <si>
    <t>Sean Altamura #salt</t>
  </si>
  <si>
    <t>Rol M</t>
  </si>
  <si>
    <t>Patrick Chartrand</t>
  </si>
  <si>
    <t>I am Nobody</t>
  </si>
  <si>
    <t>Philipp Klaus</t>
  </si>
  <si>
    <t>Hugh Hunt</t>
  </si>
  <si>
    <t>Michael Law</t>
  </si>
  <si>
    <t>JstJacko</t>
  </si>
  <si>
    <t>dave plows</t>
  </si>
  <si>
    <t>Peter Strachan</t>
  </si>
  <si>
    <t>Cornelius Corcoran</t>
  </si>
  <si>
    <t>Craig S</t>
  </si>
  <si>
    <t>RWBHere</t>
  </si>
  <si>
    <t>Tranceporter74</t>
  </si>
  <si>
    <t>David Ewen</t>
  </si>
  <si>
    <t>Purple Glitter</t>
  </si>
  <si>
    <t>LourdVicious</t>
  </si>
  <si>
    <t>Hannessomething</t>
  </si>
  <si>
    <t>Phillip Robinson</t>
  </si>
  <si>
    <t>Doron Harry</t>
  </si>
  <si>
    <t>Michael Bindner</t>
  </si>
  <si>
    <t>13minutestomidnight</t>
  </si>
  <si>
    <t>nep disc</t>
  </si>
  <si>
    <t>mark schuette</t>
  </si>
  <si>
    <t>Michael Piatak</t>
  </si>
  <si>
    <t>Sokol Mihajlovic</t>
  </si>
  <si>
    <t>anthony wilson</t>
  </si>
  <si>
    <t>Joseph Salter</t>
  </si>
  <si>
    <t>Adrian Randi</t>
  </si>
  <si>
    <t>RasakBlood</t>
  </si>
  <si>
    <t>Joseph Paraskevas</t>
  </si>
  <si>
    <t>Enjgine</t>
  </si>
  <si>
    <t>CleanTech Business Club</t>
  </si>
  <si>
    <t>ETIP SNET</t>
  </si>
  <si>
    <t>Саша Liberty</t>
  </si>
  <si>
    <t>Md Mdfrp</t>
  </si>
  <si>
    <t>Alexandra Whitelock</t>
  </si>
  <si>
    <t>TED</t>
  </si>
  <si>
    <t>Mitchel R********</t>
  </si>
  <si>
    <t>Dale Wolver</t>
  </si>
  <si>
    <t>Not Insane</t>
  </si>
  <si>
    <t>Daniel Hanawalt</t>
  </si>
  <si>
    <t>Cesar Maldonado-Mercado</t>
  </si>
  <si>
    <t>Chris Shaw</t>
  </si>
  <si>
    <t>Gregory Baillie</t>
  </si>
  <si>
    <t>Russell Compton</t>
  </si>
  <si>
    <t>Daniel Schaaf</t>
  </si>
  <si>
    <t>SeattlePioneer</t>
  </si>
  <si>
    <t>Ted Clapham</t>
  </si>
  <si>
    <t>Michael Due</t>
  </si>
  <si>
    <t>Eddy Clarysse</t>
  </si>
  <si>
    <t>Marco Vermeij</t>
  </si>
  <si>
    <t>Ruud van den Enden</t>
  </si>
  <si>
    <t>Леонид Федяков</t>
  </si>
  <si>
    <t>7 scientist</t>
  </si>
  <si>
    <t>Ken Marriott</t>
  </si>
  <si>
    <t>John smith</t>
  </si>
  <si>
    <t>Trasea</t>
  </si>
  <si>
    <t>0Turbox</t>
  </si>
  <si>
    <t>John Rothgeb</t>
  </si>
  <si>
    <t>Alfred Mac Leod</t>
  </si>
  <si>
    <t>Robert M</t>
  </si>
  <si>
    <t>Rudiger Eichler</t>
  </si>
  <si>
    <t>Stephen Brickwood</t>
  </si>
  <si>
    <t>Lynn Carter</t>
  </si>
  <si>
    <t>Marco Budny</t>
  </si>
  <si>
    <t>Jim R</t>
  </si>
  <si>
    <t>Gail Clifton</t>
  </si>
  <si>
    <t>Doug Boyd</t>
  </si>
  <si>
    <t>M D Adams</t>
  </si>
  <si>
    <t>William Tang</t>
  </si>
  <si>
    <t>kkob</t>
  </si>
  <si>
    <t>Derk Yarik_7</t>
  </si>
  <si>
    <t>Chris Taylor</t>
  </si>
  <si>
    <t>Gaming Bear</t>
  </si>
  <si>
    <t>LeoD007</t>
  </si>
  <si>
    <t>jerryw66</t>
  </si>
  <si>
    <t>Happy Home</t>
  </si>
  <si>
    <t>Mike T.</t>
  </si>
  <si>
    <t>Ian Hague</t>
  </si>
  <si>
    <t>Billy G</t>
  </si>
  <si>
    <t>Patrice Lauverjon</t>
  </si>
  <si>
    <t>gregdvorkin</t>
  </si>
  <si>
    <t>Mark Horan</t>
  </si>
  <si>
    <t>Werd Ru</t>
  </si>
  <si>
    <t>neddy laddy</t>
  </si>
  <si>
    <t>O.G. Mann</t>
  </si>
  <si>
    <t>Coach Hannah</t>
  </si>
  <si>
    <t>Christophor Faust</t>
  </si>
  <si>
    <t>graham mewburn</t>
  </si>
  <si>
    <t>Taru Veera Venkata Maruthi Suman</t>
  </si>
  <si>
    <t>Olga Gryniuk</t>
  </si>
  <si>
    <t>john moxley</t>
  </si>
  <si>
    <t>Not a Number 6</t>
  </si>
  <si>
    <t>James Esselman</t>
  </si>
  <si>
    <t>Sky Runner</t>
  </si>
  <si>
    <t>Bill Isaacs</t>
  </si>
  <si>
    <t>Eclipse Now</t>
  </si>
  <si>
    <t>ETFacetimeHome</t>
  </si>
  <si>
    <t>Antonel Neculai</t>
  </si>
  <si>
    <t>Marinos Tsalis</t>
  </si>
  <si>
    <t>G</t>
  </si>
  <si>
    <t>toss eway</t>
  </si>
  <si>
    <t>Apjooz</t>
  </si>
  <si>
    <t>THE GOOD CONTENT</t>
  </si>
  <si>
    <t>CraftyF0X</t>
  </si>
  <si>
    <t>Brad Williams</t>
  </si>
  <si>
    <t>fjj1776</t>
  </si>
  <si>
    <t>greenman</t>
  </si>
  <si>
    <t>Klaus Serra</t>
  </si>
  <si>
    <t>Robin Schaufler</t>
  </si>
  <si>
    <t>mark</t>
  </si>
  <si>
    <t>Constantin Sime</t>
  </si>
  <si>
    <t>Timothy Vincent</t>
  </si>
  <si>
    <t>Steven Bernard</t>
  </si>
  <si>
    <t>David Welty</t>
  </si>
  <si>
    <t>Galo alberto Santana Ruiz</t>
  </si>
  <si>
    <t>Seaplane Guy</t>
  </si>
  <si>
    <t>Greg McKenzie</t>
  </si>
  <si>
    <t>jemez name</t>
  </si>
  <si>
    <t>viablerenewable@</t>
  </si>
  <si>
    <t>M B</t>
  </si>
  <si>
    <t>David AU-YEUNG</t>
  </si>
  <si>
    <t>Dan Corwin</t>
  </si>
  <si>
    <t>xchopp</t>
  </si>
  <si>
    <t>Wayne P</t>
  </si>
  <si>
    <t>Roberto Tessare</t>
  </si>
  <si>
    <t>ASTER15K</t>
  </si>
  <si>
    <t>Stuart Slyper</t>
  </si>
  <si>
    <t>Jason McIntosh</t>
  </si>
  <si>
    <t>Florian Linhart</t>
  </si>
  <si>
    <t>stan mitchell</t>
  </si>
  <si>
    <t>Andrey Ostrovskiy</t>
  </si>
  <si>
    <t>DW Documentary</t>
  </si>
  <si>
    <t>Justin</t>
  </si>
  <si>
    <t>Thomas Merlin</t>
  </si>
  <si>
    <t>Unlocking Potential</t>
  </si>
  <si>
    <t>Daniel Wright</t>
  </si>
  <si>
    <t>Classical Mechanic</t>
  </si>
  <si>
    <t>Darren Murray</t>
  </si>
  <si>
    <t>Musaffah Khan</t>
  </si>
  <si>
    <t>Abtin Simorgh</t>
  </si>
  <si>
    <t>Siman Aken</t>
  </si>
  <si>
    <t>10InchSnow</t>
  </si>
  <si>
    <t>mangosteenlvr</t>
  </si>
  <si>
    <t>Shane Mitchell</t>
  </si>
  <si>
    <t>The Cynical Stoic Nihilist</t>
  </si>
  <si>
    <t>YE MIN</t>
  </si>
  <si>
    <t>Irvan Fatarwin Lubis</t>
  </si>
  <si>
    <t>Martin Luchner</t>
  </si>
  <si>
    <t>Chris Lambaa</t>
  </si>
  <si>
    <t>Rooky Crafts</t>
  </si>
  <si>
    <t>Koen De Jaeger</t>
  </si>
  <si>
    <t>Kevin Mangold</t>
  </si>
  <si>
    <t>M Kuc</t>
  </si>
  <si>
    <t>Kai</t>
  </si>
  <si>
    <t>Bisi Shah</t>
  </si>
  <si>
    <t>Deutsche Windtechnik</t>
  </si>
  <si>
    <t>naga raju Yarra</t>
  </si>
  <si>
    <t>Brian B B</t>
  </si>
  <si>
    <t>Camil Kegels</t>
  </si>
  <si>
    <t>Lisa Roberge</t>
  </si>
  <si>
    <t>Foxtrot Runner</t>
  </si>
  <si>
    <t>Niwaduwata</t>
  </si>
  <si>
    <t>Samsung A04e</t>
  </si>
  <si>
    <t>Mohamed Redha Hlm</t>
  </si>
  <si>
    <t>MdSohaj gazi</t>
  </si>
  <si>
    <t>Nouri Tahanpour</t>
  </si>
  <si>
    <t>George Streicher</t>
  </si>
  <si>
    <t>ssruiimxwaeeayezbb ttirvorg</t>
  </si>
  <si>
    <t>Attila Horvath</t>
  </si>
  <si>
    <t>Matthew Baynham</t>
  </si>
  <si>
    <t>Md. Harun Or Rashid</t>
  </si>
  <si>
    <t>Rajab Natshah</t>
  </si>
  <si>
    <t>Sari Widyanti</t>
  </si>
  <si>
    <t>TANVIR HASAN</t>
  </si>
  <si>
    <t>Karen Freeman</t>
  </si>
  <si>
    <t>Lady Raven</t>
  </si>
  <si>
    <t>G Vbhkg</t>
  </si>
  <si>
    <t>Vasuki Nagabhushan</t>
  </si>
  <si>
    <t>Ernestine Woods</t>
  </si>
  <si>
    <t>Arnar Loftsson</t>
  </si>
  <si>
    <t>Md.Al-Amin Hossain</t>
  </si>
  <si>
    <t>Jeremy McGuire</t>
  </si>
  <si>
    <t>Volp</t>
  </si>
  <si>
    <t>tattsun999</t>
  </si>
  <si>
    <t>Arturas Statkus</t>
  </si>
  <si>
    <t>Donna Marie</t>
  </si>
  <si>
    <t>MyGaming&amp;More</t>
  </si>
  <si>
    <t>Sabour M</t>
  </si>
  <si>
    <t>Jerome Downing</t>
  </si>
  <si>
    <t>Crofter</t>
  </si>
  <si>
    <t>C. A.</t>
  </si>
  <si>
    <t>Teo cris</t>
  </si>
  <si>
    <t>Govind Rajan</t>
  </si>
  <si>
    <t>Deciphering Stories</t>
  </si>
  <si>
    <t>五毛老粉红wumao</t>
  </si>
  <si>
    <t>Ocean Thirteen</t>
  </si>
  <si>
    <t>latiful khan</t>
  </si>
  <si>
    <t>Val Martin</t>
  </si>
  <si>
    <t>Rado Rad</t>
  </si>
  <si>
    <t>Hrvoje Leko</t>
  </si>
  <si>
    <t>Masque Reseau</t>
  </si>
  <si>
    <t>Viktor</t>
  </si>
  <si>
    <t>Abdul qayum khan</t>
  </si>
  <si>
    <t>Resilient Farms and Design Studio</t>
  </si>
  <si>
    <t>Françe Farms</t>
  </si>
  <si>
    <t>Noah Earl</t>
  </si>
  <si>
    <t>MirimeIsiliel</t>
  </si>
  <si>
    <t>Gregorio Valdivia</t>
  </si>
  <si>
    <t>Horse</t>
  </si>
  <si>
    <t>Freedom</t>
  </si>
  <si>
    <t>Tom Slattery</t>
  </si>
  <si>
    <t>Artur LekSa</t>
  </si>
  <si>
    <t>Resize Films</t>
  </si>
  <si>
    <t>Fabián Andrés Armendariz</t>
  </si>
  <si>
    <t>Lubanski Gornik</t>
  </si>
  <si>
    <t>Neil Grieve</t>
  </si>
  <si>
    <t>Ramón Treviño Santoyo</t>
  </si>
  <si>
    <t>Cosmin Morga</t>
  </si>
  <si>
    <t>Ata Türk</t>
  </si>
  <si>
    <t>Claude Cyr</t>
  </si>
  <si>
    <t>William T</t>
  </si>
  <si>
    <t>Gabriel Mizrachi</t>
  </si>
  <si>
    <t>Jeremy Smith</t>
  </si>
  <si>
    <t>Paul Kovac</t>
  </si>
  <si>
    <t>S Buck</t>
  </si>
  <si>
    <t>Anon</t>
  </si>
  <si>
    <t>Hunter Bidens Laptop</t>
  </si>
  <si>
    <t>abc def</t>
  </si>
  <si>
    <t>Rein Philips</t>
  </si>
  <si>
    <t>a wai</t>
  </si>
  <si>
    <t>Robin Masters</t>
  </si>
  <si>
    <t xml:space="preserve">The Pragmatic Investor </t>
  </si>
  <si>
    <t>Eyjólfur Gislason</t>
  </si>
  <si>
    <t>Billy97</t>
  </si>
  <si>
    <t>Raúl Otaño Hurtado</t>
  </si>
  <si>
    <t>Roy ston</t>
  </si>
  <si>
    <t>Yoel Singer</t>
  </si>
  <si>
    <t>Parag Ratanpara</t>
  </si>
  <si>
    <t>Chuck H</t>
  </si>
  <si>
    <t>Beltrán Simó</t>
  </si>
  <si>
    <t>Ingrid von der Marwitz</t>
  </si>
  <si>
    <t>Erik Groom</t>
  </si>
  <si>
    <t>JAMES BARLOW</t>
  </si>
  <si>
    <t>Ice Gaming</t>
  </si>
  <si>
    <t>Brian Thompson</t>
  </si>
  <si>
    <t>Nick Rossetto</t>
  </si>
  <si>
    <t>Ruslan Kryvetskyi</t>
  </si>
  <si>
    <t>Frederico Henrich</t>
  </si>
  <si>
    <t>Cliff Williams</t>
  </si>
  <si>
    <t>Dave Stagner</t>
  </si>
  <si>
    <t>SRB</t>
  </si>
  <si>
    <t>Corstian Prosman</t>
  </si>
  <si>
    <t>Roz</t>
  </si>
  <si>
    <t>H.E. Hazelhorst</t>
  </si>
  <si>
    <t>Colin Megson</t>
  </si>
  <si>
    <t>Chris Hart</t>
  </si>
  <si>
    <t>Seth Denison</t>
  </si>
  <si>
    <t>Paul Bernstein</t>
  </si>
  <si>
    <t>J H</t>
  </si>
  <si>
    <t>zzamis</t>
  </si>
  <si>
    <t>Rob Gee</t>
  </si>
  <si>
    <t>I love kundalini yoga</t>
  </si>
  <si>
    <t>Diogo Cortes Luz</t>
  </si>
  <si>
    <t>Heath Mulholland</t>
  </si>
  <si>
    <t>Dan Constructive</t>
  </si>
  <si>
    <t>Chad Blank</t>
  </si>
  <si>
    <t>J A</t>
  </si>
  <si>
    <t>david conrad</t>
  </si>
  <si>
    <t>Kyle Hoorn</t>
  </si>
  <si>
    <t>Bo Kim</t>
  </si>
  <si>
    <t>A Man on Fire</t>
  </si>
  <si>
    <t>John Atonic</t>
  </si>
  <si>
    <t>Saran Bhatia</t>
  </si>
  <si>
    <t>Kaymish</t>
  </si>
  <si>
    <t>Rob F</t>
  </si>
  <si>
    <t>tataeseng tv</t>
  </si>
  <si>
    <t>Oleksandr Holovko</t>
  </si>
  <si>
    <t>Kyle</t>
  </si>
  <si>
    <t>Daniel Cohen</t>
  </si>
  <si>
    <t>tristan</t>
  </si>
  <si>
    <t>David Wood</t>
  </si>
  <si>
    <t>Life Lessons for my Son s</t>
  </si>
  <si>
    <t>Robert Trevena</t>
  </si>
  <si>
    <t>Kevin Padden</t>
  </si>
  <si>
    <t>Matt Hat</t>
  </si>
  <si>
    <t>costaselgreco</t>
  </si>
  <si>
    <t>Cyrus Augustus</t>
  </si>
  <si>
    <t>Don Duncan</t>
  </si>
  <si>
    <t>John Dinsdale</t>
  </si>
  <si>
    <t>Daniel Bernstein</t>
  </si>
  <si>
    <t xml:space="preserve">JanL </t>
  </si>
  <si>
    <t>Viktor_Raskat</t>
  </si>
  <si>
    <t>c_tullyo</t>
  </si>
  <si>
    <t>Maria Santos</t>
  </si>
  <si>
    <t>Anton Maz</t>
  </si>
  <si>
    <t>Chiara</t>
  </si>
  <si>
    <t>Tommas H.R.</t>
  </si>
  <si>
    <t>Shawn Foster</t>
  </si>
  <si>
    <t>Mindfulness Mastery</t>
  </si>
  <si>
    <t>Yakov Goldberg</t>
  </si>
  <si>
    <t>Digby Campbell</t>
  </si>
  <si>
    <t>James Villacorta</t>
  </si>
  <si>
    <t>Robert Rodzoch</t>
  </si>
  <si>
    <t>Jesse Hiott</t>
  </si>
  <si>
    <t>Perobus Maximus</t>
  </si>
  <si>
    <t>David Dickinson</t>
  </si>
  <si>
    <t>Kappa Kappa</t>
  </si>
  <si>
    <t>Victor Silla</t>
  </si>
  <si>
    <t>Michael Chant</t>
  </si>
  <si>
    <t>DAVID</t>
  </si>
  <si>
    <t>Mark Wood</t>
  </si>
  <si>
    <t>Michal Faraday</t>
  </si>
  <si>
    <t>Velkommen til SKAGEN Fondenes kanal på YouTube!</t>
  </si>
  <si>
    <t>Travel, holidays and family and friends. I like to make visual records of what we do in life and pass that on to those who succeed us. I have looked back through recordings made many years ago to discover I was also recording history in so many ways. So I decided to keep it up as something that will one day have some value. To whom, why, when, I don't know, but I do know it will be worth doing in probably many ways.</t>
  </si>
  <si>
    <t>Educational Video:
Topics: Physics, Mathematics, Science and Engineering
Levels: University, High School</t>
  </si>
  <si>
    <t>Vegan 4 Life</t>
  </si>
  <si>
    <t>This channel will offer videos of Cybertruck features and details in a variety of settings.  I am currently 287th on the reservation list to receive my Cybertruck.</t>
  </si>
  <si>
    <t xml:space="preserve">This is your favourite channel if you are interested in woodworking ideas. It is not a "How to.." website. It is designed for the Honeydo urban woodworker with heavy social commitments and limited living space.
Home workshops are my passion. In the modern world, I believe it is vital to keep up with change, not just computer technology but also building stuff. You need to be able to make whatever you need when you need it, quickly and cheaply. That is where the mobile workshop comes in. From the age of 20 (single bed) through to 30 (double bed) and then 40 (4 bed family house) and finally 70 (bungalow or 2 bed flat), you will be changing house every 10 years and you will need to take your workshop with you. So start planning and building your mobile workshop now and be prepared for change.
</t>
  </si>
  <si>
    <t>Please visit Presto Ballet at http://www.prestoballet.com/index.asp and support the band!
 For anyone who might be interested I am teaching one on one via Skype.  I was a little skeptical about it before trying it but I find that it's "almost as good as being there".  I'm sticking with what I do best:  Playing and programming keyboards.  At the moment I charge $40 per hour but I will teach most any length lesson.  For details email me:  kshacklett@hotmail.com 
I'm also available for any serious touring gig from Yes to Dwight Yokam.
My ELP and Jethro Tull videos are examples of what happens when I set out to recreate my favorite band music, but I've covered everything from Louie Prima to Metallica with similar attention to detail.  So I'm ready to jump in and sound "authentic", or add some creative input, if needed.  
I want to eventually post all my original material.  Some is ELP inspired, but I also have some simple guitar based songs.  It's often hard to decide when a piece is finished since they tend to evolve over the years, but I'll bite the bullet and get some out there ASAP.</t>
  </si>
  <si>
    <t xml:space="preserve">WSJ News delivers the news you need, when you need it.
</t>
  </si>
  <si>
    <t xml:space="preserve">Welcome to the official BBC News YouTube channel. 
Interested in global news with an impartial perspective? Want to see behind-the-scenes footage directly from the front-line? Our YouTube channel has all this and more, bringing you specially selected clips from the world's most trusted news source.
For the latest news and analysis download the BBC News app or visit BBC.com. 
</t>
  </si>
  <si>
    <t>Professional Grandad and wandering Brit now living in Borneo</t>
  </si>
  <si>
    <t xml:space="preserve">Deleted/Hidden most my video's due to "quality control" and additional requirements in gaming video's a while back... so you are not mad or crazy... there used to be a lot more here... Being content creator is just not for me. Sorry :(
All featured content, Babalonkie™, names and source material are subject to their own respective copyright. No material can be used without authorisation. © 2006-2023.
</t>
  </si>
  <si>
    <t>I do mostly Minecraft videos but sometimes I think outside of Minecraft :)</t>
  </si>
  <si>
    <t>...</t>
  </si>
  <si>
    <t>This channel is about how to Save Our Planet by applying Sharing, Justice and Peace in our daily life. Thank-you for your time and attention. Live in the light.</t>
  </si>
  <si>
    <t>Singer Songwriter. This is my music channel that shows the progress I have made over the years.</t>
  </si>
  <si>
    <t xml:space="preserve">Out beyond the rightness and wrongness of things there is field - I will meet you here.  
I wear a wedding ring. 
I am sorry. 
Please come get me.
Gladheart, TX.
</t>
  </si>
  <si>
    <t xml:space="preserve">https://www.youtube.com/shorts/CJ2KEv1hr7A   
THE IPCA NZIC NZ POLICE GCSB ARE COMMITING FAMILY VIOLENCE ON DEAN MILLER REFUSE BASIC LAWS RIGHTS OVER DEAN CHILD FAMILY. SUESIDE SEEM BE WHAT KATHY INVINE IPCA NZ GOVT STAFF TRYING MAKE HAPPEN DENIE ME INFO ON MY DOWNS CHILD APPEAR THEY KILLED HER REFUSE ANY RIGHT TO INFO PHYCOLODGIAL TACTIC KNOWN AND SATINIC UN HUMAN OF AUTHORITY RECKLESS TO MURDER. VERY SIMPLE TO GIVE INFO UPDATE ALL ASKED FOR NZ A COWARDLY CRIMIAL SICK PREVERT ACT THEY OPENLY COMMITED VIOLATING MY RIGHT MENTAL HEALTH WELL BEING REFUSE  DAY DAY CARE INFO INSTALLING THE OPENLY KILLED MY DOWNS CHILD. KITERIDGE SIS STAFF LOWEST SATINIC ACT DEMANDING KILLING LUXON WAY HARSING DEAN VIOLATING LIFE DISTORYING MEANING LIFE FOR A FATHER AND VALUES. MIRCOSOFT VIADUT NZ MAIN OFFENDER CYBER VIOLATION TERORIUSM CUNT . WAR VIOLENCE AND NEED REMOVE SUCH EVIL SICK CUNT FROM POWER A MUST FOR GOOD MAN KIND THEY PURE EVIL MUST NOT LOVE THERE FAMILY 
</t>
  </si>
  <si>
    <t>This channel exists to act as a resource that can help those who wish to learn more about sandponics. Currently, the little website at sandponics.info displays the one video that is stored here, and more will be added as I learn more and develop my sandponics beds and fishpond.</t>
  </si>
  <si>
    <t xml:space="preserve">We feature all the sexy girls and women from any and every corner of science fiction and fantasy. This includes DC and Marvel, superheroines, Disney, TV, films, anime / manga, horror, video games and much more. We feature the hottest most beautiful girls in cosplay and art, often fan art and amateur and professional cosplay. We feature comics and much more.
We believe in the right for people to be sexy and to be adored and loved and their beauty admired as you would a work of art in a museum.
We present selections of the hottest pictures and photos of the most beautiful women while keeping within the rules of YouTube's family friendly policy.
</t>
  </si>
  <si>
    <t>TELLUS</t>
  </si>
  <si>
    <t>Next generation robotics</t>
  </si>
  <si>
    <t xml:space="preserve">As an experienced teacher help with students learning English as a second language, I am really keen on helping learners to improve and progress.
I have helped Hong Kong students at secondary school and university with their HKDSE, IELTS and presentation and research paper.
If you would like to enhance your language proficiency, please feel free to watch my clips and leave your comments.
What's more, if you would like private tutoring, just leave a message and your email and I will be in touch with you.
</t>
  </si>
  <si>
    <t>SPOTTING THE DRACO_xD83D__xDC0D_  in 2019 YouTube got bought by nazi,s since then it's a pile of shit</t>
  </si>
  <si>
    <t>The Economist videos give authoritative insight and opinion on international news, politics, business, finance, science, technology and the connections between them.
We're also producing full films such as The Disrupters, an original series exploring how major industries—from music and cars to hospitality—are currently being disrupted by the latest wave of digital innovation. As well as enjoying privileged access into the world biggest tech start ups we show how industry giants respond when faced with such tech-driven innovation—do they adapt—or die?
Subscribe to our channel to be among the first to see the new films in the series when we post them.</t>
  </si>
  <si>
    <t>Ham radio and stuff</t>
  </si>
  <si>
    <t>The boring channel</t>
  </si>
  <si>
    <t>Slightly more annoying then your average idiot</t>
  </si>
  <si>
    <t xml:space="preserve">Don't settle do work you love. Monetize Your Story. Design Your Future. </t>
  </si>
  <si>
    <t>Hi, I'm Billy and I restore, repair, and upgrade things, mostly old Apple computers. Thank you for taking time to view my channel. Also I've decided to add videos that many of you might find a bit boring, but I am fascinated by the amount of different species of plant and animal life that share the couple of acres in my little slice of heaven in East Texas:)</t>
  </si>
  <si>
    <t>The Ultimate Handball and Football Sports Channel</t>
  </si>
  <si>
    <t xml:space="preserve">_xD83D__xDD34_  Канал компании НОКИ    _xD83D__xDD34_  Independent Assessment Consulting Innovations _xD83D__xDD34_ 
_xD83D__xDD3A_  http:\\www.vse-ocenim.ru _xD83D__xDD3A_   https://twitter.com/ocenimru     _xD83D__xDD3A_
Независимая Оценка Консалтинг Инновации 
Канал об экономике, недвижимости, финансах, бизнесе, рынках, оценке недвижимости, бизнеса, акций, машин, оборудования и  химической промышленности.
➡️ Качество консалтинговых, судебно-экспертных и  оценочных  услуг,   гарантировано высокой квалификацией сотрудников.  
➡️ Количество оценок и экспертиз, выполняемых сотрудниками фирмы ежегодно более 800
➡️ Сотрудники  компании ведут научную работу  и имеют публикации в научных журналах.
_xD83D__xDFE5_ _xD83D__xDFE5_ _xD83D__xDFE5_
A channel about economics, real estate, finance, business, markets, real estate valuation, business, stocks, machinery, equipment and the chemical industry.
#оценка #недвижимость #экономика #финансы #консалтинг  #оценканедвижимости #оценкаакций #оценкаакций #оценкадлябанка #оценкадлянотариуса #оценкадлясуда #судебныйэксперт #economic #finance #bussiness 
</t>
  </si>
  <si>
    <t xml:space="preserve">Attention YouTubers: Is your content getting lost in the shuffle? In today's oversaturated video space, high quality production is no longer enough. You need to actively guide and captivate your audience to stand out.
That's where my specialized timestamping services come in.
Strategically placed timestamps seamlessly into videos can skyrocket audience engagement by 400% or more. 
How? By allowing viewers to easily jump to the parts they care about most, keeping them glued to your content from start to finish. Higher watch time signals to the YouTube gods that your videos deserve to rank higher and get shared more.
But precision matters. Haphazard or intrusive timestamps can disrupt your masterpiece. As a professional YouTube consultant, I have an eagle eye for seamless, optimized integration tailored to your unique content style and audience. My timestamps not only boost your views and subscribers, but also project an aura of elite quality that makes sponsors take notice.
</t>
  </si>
  <si>
    <t>Some things to ride on!</t>
  </si>
  <si>
    <t>MK7, iAM</t>
  </si>
  <si>
    <t xml:space="preserve">The single greatest challenge humanity faces in the 21st century is breaking our addiction to fossil fuels. A global Energy Crisis is certain to occur as we struggle to transition from fossil fuels to cleaner, greener sources of energy to power the global economy, while simultaneously decarbonizing our atmosphere. And progress to date building the clean energy we need to replace fossil fuels has been pitiful.
The purpose of this docuseries is to explain why this transition is needed and what it’s really going to take, including the parts we don’t yet have good solutions for. I’m not going to sugar-coat the challenges that lie ahead of us. And if you’ve been evangelized by the propaganda that wind and solar alone can solve this problem by 2050, I’m going to challenge some of your beliefs with hard data that tell another story.
</t>
  </si>
  <si>
    <t>I will upload video games, music, and other things that are cool!</t>
  </si>
  <si>
    <t>This channel follows me as I try to become financially free</t>
  </si>
  <si>
    <t>Closed Living Systems, Architectural &amp; Industrial Design</t>
  </si>
  <si>
    <t xml:space="preserve">Retired builder , coach and vol. fire fighter hobbies, gardening,fishing track &amp;field, brewing and wine making, growing &amp; foraging Mushrooms 
</t>
  </si>
  <si>
    <t>Simplu.........„Nimic nu valoreaza mai mult decat ziua de azi.”</t>
  </si>
  <si>
    <t xml:space="preserve">Tower Gardens:
Why not add a roof top garden or gardening courtyard to your next project? Grow aeroponically/vertically ensuring food safety &amp; fresh nutrient-dense food. Eco-friendly and sustainable. This is urban gardening that can be achieved even indoors in Canada. #growlocal _xD83E__xDD6C__xD83C__xDF53__xD83E__xDD66__xD83C__xDF36__xD83E__xDD52__xD83C__xDF49__xD83D__xDC9A__xD83C__xDF45__xD83C__xDF46_
https://organic.towergarden.com
Shred10:
What do we have without our health? In this capacity I am challenging people to commit to 10 days of some simple lifestyle changes. Client results include healthy abundant energy, less sick days, slimmer, fitter, more defined bodies and in general clients who look good and feel great. _xD83E__xDD64__xD83C__xDF4E__xD83D__xDC83__xD83C__xDFFC_
https://organic.juiceplus.com
Health Food affiliate biz _xD83E__xDD6C__xD83D__xDC9A_ _xD83C__xDF4E__xD83C__xDF4B__xD83C__xDF47_   Check out my potent fruit/veg concentrates ⬇️ #beyondorganic
https://organic.juiceplus.com
</t>
  </si>
  <si>
    <t>Science is so important to every aspect of the world and the intent of this channel is to catch every piece of science and deliver in its simplest form so that ANYONE can understand while focusing more on the future of side of sciences.</t>
  </si>
  <si>
    <t>Whow, wtf, love that vibe!</t>
  </si>
  <si>
    <t>This channel seeks to  understand the issues that face our civilisation in the 21st Century and focusses on the potential solutions that will save as many lives as possible and hopefully bring about a greater level of equality in the world. The channel is not a debating forum about whether Human Induced Climate Change is a real phenomenon or not. If that's what you're after then I can highly recommend chat forums on Social Media, where people on both sides of the argument go round and round in circles achieving precisely nothing at all.
That is a mug's game. And it's not my game. 
Anyway, outside of those caveats, I do try to keep it light and humorous wherever possible, so I hope you enjoy the content. 
Oh..and me... Dave Borlace. Born 1969. BSc in Technology from the Open University in the UK. After a 30 year career in People and Project Management,  I now work full time on the channel thanks to the amazing folks who support me on Patreon http://www.patreon.com/justhaveathink</t>
  </si>
  <si>
    <t>Old rocked who found a bike.</t>
  </si>
  <si>
    <t xml:space="preserve">Nein Nein,ihr fossil atomaren Desinformanten/Astroturfer ich bin der echte Strauß, hab mich mit dem Streibl aufm Mond und mal am Nordpol mit dem
Hubis (mei Hubsi) versteckt....  /Ironie OFF!
Im Herzen bin ich ein Grüner (ich mag die Natur und Menschen) im Kopf bin ich natürlich Stockkonservativ (ich mag auch ein gutes Leben).
Für mich gehen Natur und Umweltschutz Hand in Hand mit Wirtschaft und Industrie. Effizienz spart Geld und schont die Natur.
Und als Vollblutdemokrat hätte ich sicher nicht AFD gewählt! Niemals! wer mit rechten und radikalen Strömungen um Bernd Böcke paktiert...., hat sich selbst disqualifiziert!
Wir leben in Propagandazeiten da wäre selbst  "Dr. Joseph Goebbels" vor Neid erblasst.
DOI: S41598-022-08404-9
Und eines könnt ihr bei mir sicher sein, egal ob es mir nützt oder nicht ich Lüge und betrüge nicht!
Ja ich hab mein geld in renewables gesteckt investments in fossil/atomar lehne ich ab
Klimapanik trotzdem nein Danke!
</t>
  </si>
  <si>
    <t>Labor für Entrepreneurship - LaborX in München</t>
  </si>
  <si>
    <t>Welcome to the official YouTube channel of SABO-FX!
Thank you for taking interest in my productions. Please ´subscribe´ to be automatically notified of my future videos.
Personal background:
I produce all kinds of music ranging from classical to hip hop to trance. Furthermore I´m also capable of video editing and designing graphics. If you need a fancy, epic, slick intro, trailer, announcement or music video just let me know.
I'm always interested in new jobs and talented artists to work with. Send me a message on producer[at]sabo-fx.net if you are interested in a collaboration. ([at]=@)
All soundtracks are available for listening and/or (free) download on http://soundcloud.com/sabo-fx/</t>
  </si>
  <si>
    <t>My videos are centered around knives - mainly knife making, finished knives, sometimes some pocket knife previews or overviews. I am not trying to run an 'active' channel or to become a YT reviewer. I only upload videos when I think I have something interesting or relevant to share.</t>
  </si>
  <si>
    <t>I'm benderbot that is paid 0.25$ per comment by US government and individual globalists to spread propaganda</t>
  </si>
  <si>
    <t>An Englishman in Naples: Travel Inspire. Sports. Food. Culture.
I'm a runner and triathlete. Subscribe to watch races in and around Italy. 
I'm a Cheese Taster. Follow me in food events and explore dairies with me.
I'm passionate about travel, I'll be here for you if you want any tips off the beaten track.
I love art and culture so many vids will be devoted to exhibitions, heritage and street art.
I'm half English and half Italian, so I'll be the perfect insider for your trips or next 'Italian job'.
My favourite hashtags:
#salt #sports #running #triathlon #cheese #food #wine #travel #trashtag #streetart #naples #italy 
Please feel free to comment and drop suggestions at any time.
Sean</t>
  </si>
  <si>
    <t xml:space="preserve">RWB's Mechanical Music Channel. Thank-you for watching and subscribing. 
For more, please click the Vimeo link.
EARN £50 FOR SIGNING UP, AND REDUCE YOUR FUEL BILLS, BY FOLLOWING THIS REFERRAL LINK:
https://share.octopus.energy/mechanical-music-606  
Octopus really do have the best reputation of all of the U.K. energy suppliers. 
From personal experience, they treat you well, and my energy bills have reduced significantly.
</t>
  </si>
  <si>
    <t>I'm no longer uploading car stuff, sorry for the people who liked that.</t>
  </si>
  <si>
    <t xml:space="preserve">CleanTech Business Club is a one-of-a-kind, Multi-Sectorial, Multi-Stakeholder and Multi-National “Think-DO-Tank” in the CleanTech space. As a private and independent leadership club, it fosters human-to-human (H2H) connections and collaborations among trusted leaders from CleanTech and other disruptive technology fields, financial communities, top corporations, energy companies, utilities, political decision-makers, and public opinion influencers.
Powered by the H2H blockchain and united DNAs, CBC’s leaders and partners work closely to scale up CleanTech Investments from Billion$ to Trillion$ while shaping the future today.
By sharing their expertise and knowledge, providing unique business and financial facilities, guiding decision-makers and related stakeholders, and showcasing successful case studies, they lead the way towards regenerative development of the world by combining business with meaningfulness and joy, demonstrating that #TogetherWeAreStronger. 
</t>
  </si>
  <si>
    <t>Europe’s energy transition is key to the European and global goals of reducing greenhouse gas emissions and keeping global temperature increases below 2°C. To ensure this, more renewable and other carbon-neutral energy sources will be introduced into Europe’s electricity, heating and cooling, and transport systems.
The energy networks, especially stronger and smarter electricity grids interfaced with heating, gas and transport networks, play a key role in the energy transition while supporting security of supply and affordability.
ETIP SNET (European Technology and Innovation Platform Smart Networks for Energy Transition) aims to make sure Europe’s Research and Innovation facilitates all energy customers and market actors to rely on optimally integrated networks, systems and markets.</t>
  </si>
  <si>
    <t>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You're welcome to link to or embed these videos, forward them to others and share these ideas with people you know.
TED's videos may be used for non-commercial purposes under a Creative Commons License, Attribution–Non Commercial–No Derivatives (or the CC BY – NC – ND 4.0 International) and in accordance with our TED Talks Usage Policy: https://www.ted.com/about/our-organization/our-policies-terms/ted-talks-usage-policy. For more information on using TED for commercial purposes (e.g. employee learning, in a film or online course), please submit a Media Request at https://media-requests.ted.com</t>
  </si>
  <si>
    <t>Seasoul</t>
  </si>
  <si>
    <t xml:space="preserve">This is a channel for Gaming, and enjoying life.
I used to be a better gamer and in a top team sponsored by Razer but with medical problems and several failed operations I have gone blind, but I won't let that stop me gaming and helping other people have fun gaming whenever they want!
In 2019 I re-opened a Local game store in the Cotswolds after putting it in mothballs in 2001, I may be a little slow but I care which is why we are open 20 hours a day &amp; gaming is everything.
I look forward to begin doing youtube video's again in the near future to help people enjoy gaming as much I do, All the best.
Rich,
AKA Gaming Bear.
</t>
  </si>
  <si>
    <t>So google+, the famed incomplete equation, is not working for you?  
Why not FORCE all you tube users to sign up for it?  Oh, you've done that already ?  Still didn't fuckin' work did it idiot?
Well why not try FORCING all your users to use that google+ abomination?  
mmmmmm, maybe everyone will up stumps and fuck off since it is becoming a platform SOLELY for pushing advertiser's popular culture hollywood shit and consume, consume, consume. NO TALKING either.
Well, google, you've fucked yourself up the arse as far as I'm concerned.</t>
  </si>
  <si>
    <t xml:space="preserve">Bass-baritone vocalist </t>
  </si>
  <si>
    <t>Useful snippets about AI and the future.                                                                                                                                                          We make sure you stay up-to-date with the latest advancements and trends. Whether you're a seasoned AI enthusiast, a curious beginner, or someone interested in the impact of AI on various industries, you'll find valuable content here.</t>
  </si>
  <si>
    <t>Brad's extensive knowledge of the investment and insurance industry comes from over 32 years of addressing the financial concerns of retirees and business owners.
**Investment Advisory Services offered through Sound Income Strategies, LLC, an SEC Registered Investment Advisory Firm. Brad Williams Financial Services and Sound Income Strategies, LLC are not associated entities.</t>
  </si>
  <si>
    <t>No big deal...</t>
  </si>
  <si>
    <t>Science and cycling, music and more!</t>
  </si>
  <si>
    <t xml:space="preserve">Learning computer programming, starting digital business and saving money to grow my finances. I'm old and broke so I've decided to start learning how to become a fullstack developer and start an online business because it's cheaper. I had a small business in the fashion industry (silkscreen and sewing) and I think that learning to code will help me when I start my new business. I want to start an YouTube and social media based business and then grow to the brick and mortar world. 
Just anyone else I'm trying to find motivation to get out of the finantial problems I'm facing so I listen to some audiobooks and read a lot of books about goal settings.
</t>
  </si>
  <si>
    <t>I LOVE PLAYING GAMES, I HOPE U GUYS ENJOY MY GAMING SESSION _xD83D__xDE01_ AND ALWAYS SUPPORT ME , THX</t>
  </si>
  <si>
    <t xml:space="preserve">DW Documentary gives you information beyond the headlines. Watch top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from Deutsche Welle (DW), Germany's international broadcaster.
Subscribe to: 
⮞ DW Documentary (English): https://www.youtube.com/dwdocumentary
⮞ DW Documental (Spanish): https://www.youtube.com/dwdocumental
⮞ DW Documentary وثائقية دي دبليو (Arabic): https://www.youtube.com/dwdocarabia
⮞ DW Doku (German): https://www.youtube.com/dwdoku
⮞ DW Documentary हिन्दी (Hindi): https://www.youtube.com/dwdochindi
Follow DW Documentary on Instagram: https://www.instagram.com/dwdocumentary/
Follow DW Documental on Facebook: https://www.facebook.com/dwdocumental
Please follow DW's netiquette: https://p.dw.com/p/MF1G
</t>
  </si>
  <si>
    <t>But wait, there's more!</t>
  </si>
  <si>
    <t>Hey sup. Our names are Utainium and Omaygod and we are gamers. This is mainly Utainium's channel but Omaygod does upload stuff on to here aswell. We use Macs. Utainium makes music under the name Utain.</t>
  </si>
  <si>
    <t>GeoExplorer and badminton enthusiast</t>
  </si>
  <si>
    <t>Videos including projects, entertainment,arts,hobby works,life hacks and tricks and so on..</t>
  </si>
  <si>
    <t>Wir sind Spezialist für die Instandhaltung von Windenergieanlagen an Land und auf dem Meer. Dazu gehört die Planung und Durchführung von Wartungen, Reparaturen, Verbesserungen und Inspektionen. Alles Maßnahmen, die die Windenergieanlagen langlebig am Laufen halten. Was unterscheidet uns von anderen Serviceunternehmen? Wir bieten Service von A bis Z – und das mit Leidenschaft für alle technischen Leistungen rund um die Windenergie.
We are a specialist in the maintenance and repair of wind turbines on land and at sea. That includes the planning and implementation of maintenance, repair, upgrading and inspection procedures. All measures to keep the wind turbines up and running for the long term. What makes us stand out from other service companies? We offer everything from A to Z – and match that with a passion for all technical services related to wind power.
Deutsche Windtechnik AG
Stephanitorsbollwerk 1
28217 Bremen
https://www.deutsche-windtechnik.com/impressum.html</t>
  </si>
  <si>
    <t>For Vacation in Sri lanka</t>
  </si>
  <si>
    <t>Be Aware &amp; Observe!</t>
  </si>
  <si>
    <t>Arnar Loftsson is an Icelandic entrepreneur in beverage sector</t>
  </si>
  <si>
    <t>I am a Muslim, so I am blessed, I thank Allah a thousand times, may Allah guide me to His right path and guide us all-Amin</t>
  </si>
  <si>
    <t>I Jeremy Odin Scott Hammer Armstrong McGuire Senior contain all things all souls spirits and minds everything of entire existence within Jeremy Odin Scott Hammer Armstrong McGuire Senior name eternally.. Let no one have a thought against My name.</t>
  </si>
  <si>
    <t>_xD83C__xDFB8__xD83C__xDDE7__xD83C__xDDF7_</t>
  </si>
  <si>
    <t xml:space="preserve">Welcome to my channel! I am a gaming enthusiast. I play mostly Dota 2 but sometimes different types of games as well.  
I will be sharing more variety of content on Gaming, Anime, and Kdramas. 
Support and enjoy :)
</t>
  </si>
  <si>
    <t xml:space="preserve">Welcome to Deciphering Stories!
Embark with us on a fascinating journey through the intricate plots and plots that shape the fabric of stories. On the "Deciphering Stories" channel, we dive deep into narrative universes, uncovering secrets, symbolisms and nuances that often go unnoticed.
Whether you are a lover of literature, cinema, TV series or just someone curious about the power of narratives, this is the place for you. Our videos are carefully crafted to provide in-depth analysis, intriguing theories, and fun facts about the characters, settings, and twists that make each story unique.
Subscribe now so you don't miss an episode and be part of this community passionate about deciphering stories. Get ready to expand your understanding of the narratives that surround us and discover the hidden secrets behind each compelling plot.
Let's decipher stories together!
Deciphering Stories
</t>
  </si>
  <si>
    <t>游走歌王</t>
  </si>
  <si>
    <t>We are a small homestead farm in Southern Illinois practicing regenerative farming and permaculture. We provide consulting advice regarding off-the-grid homestead design and transformative strategies to increase resilience, sustainability and self-reliance. We also design and make environmentally friendly products.</t>
  </si>
  <si>
    <t>Agriculture and Nature! Hope you find it informative.</t>
  </si>
  <si>
    <t>God help us and save us from every type of difficulties to comes in our life.
Always trust in God.
_xD83D__xDC96__xD83D__xDC4F__xD83D__xDD90__xD83C__xDFFB__xD83C__xDF39__xD83E__xDD40_
"I wants peace and success in this life and also after death"
Believe in humanity_xD83E__xDD1D__xD83D__xDC9A__xD83D__xDC9D_
                  _xD83D__xDED0_✝</t>
  </si>
  <si>
    <t>We are a dynamic and forward-thinking film production company based in Portugal that specializes in crafting exceptional visual experiences. 
We value the freedom to experiment, play and explore new concepts and ideas.
The core of our work comes from creative expression, storytelling and cultural involvement, open to being continually re-defined while shifting boundaries.
Welcome to Resize Films, where every project leaves a lasting impact.
https://www.resizefilms.com</t>
  </si>
  <si>
    <t>Aktualny obecnie temat - pomówienia Polski i Polaków o przeszły i obecny antysemityzm. Filmy wybrane z sieci pokazują wiele historycznych prawd i moze pomoga oglądającemu na wyrobienie sobie opinii na temat.
The current topic - Poland and Poles' for past and present antisemitism. Films selected from the network show many historical truths and may help the viewer to form an opinion on the topic.</t>
  </si>
  <si>
    <t>Demand more from your data.
Simplifies data warehouses.
Makes data warehouse useful.
Mission critical data management system.
High-level information system.
Complete business intelligence system.
Business information system.
Access important data in 3 seconds.
Improves performance in a data warehousing environment.
Makes data easily accessible and presentable.
Information management system.
Data warehouse and business intelligence.
Financial executive information system.
Data retrieval system that offers employees instant access to data they
need to make better decisions, faster.
Enterprise data retrieval system.
Extracting meaningful information from your data.
Making sense of the data coming your way.
Reduces project costs.
Teldware will enable you to…
Design better business solutions
Mitigate risks
Make better financial decisions and more effectively manage your people,
technology and resources.
Turn data into insight.</t>
  </si>
  <si>
    <t xml:space="preserve">Road To 300 Subscribers.
</t>
  </si>
  <si>
    <t xml:space="preserve">I do music and other stuff. If you’re interested in my health and wellness journey, follow my other channel, @maybewrong. </t>
  </si>
  <si>
    <t xml:space="preserve">I am a Christ follower and disciple, husband to the world’s best woman, and father to 2 beautiful young women. </t>
  </si>
  <si>
    <t>John Atonic: One-Stop-Shop Sync Licensing. 
Independent Boutique Music Catalogue with a variety of unique independent artists.
Composer, producer, engineer, guitarist, mixing and mastering.</t>
  </si>
  <si>
    <t>Be like water,the life giving element</t>
  </si>
  <si>
    <t>This site is mainly life lessons I have learned that want to be sure my sons can easily see on their phones.  A few main topics; finance, business, real estate, gold, silver, mental health, physical health, spiritual health, play, women &amp; relationships.  I will cover other topics and try to organize by subject.</t>
  </si>
  <si>
    <t xml:space="preserve">www.ballistichydrant.com 
Art for investment. 
Travel, leisure and lifestyle arts and entertainment </t>
  </si>
  <si>
    <t>My channel is mostly about flying the Citabria. I have some older videos of flying the Great Lakes. The Citabria is a great little airplane and is very versatile which is its best attribute. The version I am flying is the 7KCAB with full inverted fuel and oil capability.</t>
  </si>
  <si>
    <t>@skagentvnorge</t>
  </si>
  <si>
    <t>@tihodownthetube</t>
  </si>
  <si>
    <t>@paulwetstuff</t>
  </si>
  <si>
    <t>@chuck68ify</t>
  </si>
  <si>
    <t>@yapostadodat</t>
  </si>
  <si>
    <t>@shooternumberone</t>
  </si>
  <si>
    <t>@damremont18</t>
  </si>
  <si>
    <t>@brad-sb1dk</t>
  </si>
  <si>
    <t>@david-wg3mf</t>
  </si>
  <si>
    <t>@dedread</t>
  </si>
  <si>
    <t>@yo3a007</t>
  </si>
  <si>
    <t>@sa-nv5tc</t>
  </si>
  <si>
    <t>@isaac.ramirez</t>
  </si>
  <si>
    <t>@wsjnews</t>
  </si>
  <si>
    <t>@bbcnews</t>
  </si>
  <si>
    <t>@hovite_wanderer</t>
  </si>
  <si>
    <t>@rafael-vn2bo</t>
  </si>
  <si>
    <t>@a3kr0n</t>
  </si>
  <si>
    <t>@fair.d</t>
  </si>
  <si>
    <t>@muonium1</t>
  </si>
  <si>
    <t>@semperfideliscasablancas</t>
  </si>
  <si>
    <t>@julian_wang-pai</t>
  </si>
  <si>
    <t>@lovelti</t>
  </si>
  <si>
    <t>@timengbergsongs</t>
  </si>
  <si>
    <t>@dreadnought16</t>
  </si>
  <si>
    <t>@cherokezpittman</t>
  </si>
  <si>
    <t>@fantasyforum</t>
  </si>
  <si>
    <t>@suburp212</t>
  </si>
  <si>
    <t>@christopherwherbert</t>
  </si>
  <si>
    <t>@ivan-fs7go</t>
  </si>
  <si>
    <t>@jl.english.journal</t>
  </si>
  <si>
    <t>@coreysmith-ph3fj</t>
  </si>
  <si>
    <t>@ntkm-om9vn</t>
  </si>
  <si>
    <t>@technicalshivam-bh1hv</t>
  </si>
  <si>
    <t>@theeconomist</t>
  </si>
  <si>
    <t>@vk4vo</t>
  </si>
  <si>
    <t>@sergepavlovsky</t>
  </si>
  <si>
    <t>@gypzyjack</t>
  </si>
  <si>
    <t>@aujohnm</t>
  </si>
  <si>
    <t>@aresthepacifist</t>
  </si>
  <si>
    <t>@dj671993</t>
  </si>
  <si>
    <t>@lastar972chuck</t>
  </si>
  <si>
    <t>@10-oswords</t>
  </si>
  <si>
    <t>@digsamurai</t>
  </si>
  <si>
    <t>@hadrienlbb</t>
  </si>
  <si>
    <t>@billythekidcenturion</t>
  </si>
  <si>
    <t>@lfiloktetes</t>
  </si>
  <si>
    <t>@vitalclubsport</t>
  </si>
  <si>
    <t>@afsaroseli</t>
  </si>
  <si>
    <t>@motordetroit</t>
  </si>
  <si>
    <t>@noki-vseocenim</t>
  </si>
  <si>
    <t>@bettertextlex</t>
  </si>
  <si>
    <t>@tecucimustard</t>
  </si>
  <si>
    <t>@hiremytimestamptalent</t>
  </si>
  <si>
    <t>@mveira-hp4pk</t>
  </si>
  <si>
    <t>@iggydalrymple</t>
  </si>
  <si>
    <t>@themk7</t>
  </si>
  <si>
    <t>@energytransitioncrisis1</t>
  </si>
  <si>
    <t>@pid75</t>
  </si>
  <si>
    <t>@gd-ev7lb</t>
  </si>
  <si>
    <t>@theimacrox</t>
  </si>
  <si>
    <t>@buran01</t>
  </si>
  <si>
    <t>@-lightningrod-</t>
  </si>
  <si>
    <t>@jsbrown-iw1lh</t>
  </si>
  <si>
    <t>@o000hshiny</t>
  </si>
  <si>
    <t>@marianmaryan</t>
  </si>
  <si>
    <t>@jodstar</t>
  </si>
  <si>
    <t>@anyonecandoscience</t>
  </si>
  <si>
    <t>@vaa_eu</t>
  </si>
  <si>
    <t>@jakob_nybo</t>
  </si>
  <si>
    <t>@mrartist7777</t>
  </si>
  <si>
    <t>@scoots1994</t>
  </si>
  <si>
    <t>@justhaveathink</t>
  </si>
  <si>
    <t>@cmwobby1</t>
  </si>
  <si>
    <t>@krazeekeithkash</t>
  </si>
  <si>
    <t>@somoneofu</t>
  </si>
  <si>
    <t>@private-gtngxnmbkvyzxypq</t>
  </si>
  <si>
    <t>@john-eq8cu</t>
  </si>
  <si>
    <t>@franzjstrauss</t>
  </si>
  <si>
    <t>@mrbigbangbuzz</t>
  </si>
  <si>
    <t>@seanaltamurasalt</t>
  </si>
  <si>
    <t>@david-wc5zl</t>
  </si>
  <si>
    <t>@jstjacko</t>
  </si>
  <si>
    <t>@mrsmegfish</t>
  </si>
  <si>
    <t>@rwbhere</t>
  </si>
  <si>
    <t>@lourdvicious</t>
  </si>
  <si>
    <t>@josephsalter-cj9cm</t>
  </si>
  <si>
    <t>@rasakblood</t>
  </si>
  <si>
    <t>@cleantechbusinessclub</t>
  </si>
  <si>
    <t>@etipsnet7036</t>
  </si>
  <si>
    <t>@ted</t>
  </si>
  <si>
    <t>@reasonablysane</t>
  </si>
  <si>
    <t>@seattlepioneer</t>
  </si>
  <si>
    <t>@marcovermeij</t>
  </si>
  <si>
    <t>@hombre525</t>
  </si>
  <si>
    <t>@johnsmith-zi9pu</t>
  </si>
  <si>
    <t>@seawithinyou</t>
  </si>
  <si>
    <t>@0turbox</t>
  </si>
  <si>
    <t>@gailclifton</t>
  </si>
  <si>
    <t>@mdadams72668</t>
  </si>
  <si>
    <t>@superprotector</t>
  </si>
  <si>
    <t>@christaylor-dz6nk</t>
  </si>
  <si>
    <t>@gamingbear_q_e_d</t>
  </si>
  <si>
    <t>@ianhague</t>
  </si>
  <si>
    <t>@ogmann</t>
  </si>
  <si>
    <t>@antonelneculai</t>
  </si>
  <si>
    <t>@apjooz</t>
  </si>
  <si>
    <t>@thegoodcontent37</t>
  </si>
  <si>
    <t>@craftyf0x</t>
  </si>
  <si>
    <t>@constantin_sime</t>
  </si>
  <si>
    <t>@mb-ub5ns</t>
  </si>
  <si>
    <t>@lee-van-cle</t>
  </si>
  <si>
    <t>@aster15k</t>
  </si>
  <si>
    <t>@dwdocumentary</t>
  </si>
  <si>
    <t>@danwright051691</t>
  </si>
  <si>
    <t>@10inchsnow</t>
  </si>
  <si>
    <t>@josmincherian</t>
  </si>
  <si>
    <t>@koendejaeger</t>
  </si>
  <si>
    <t>@kai-ic4mp</t>
  </si>
  <si>
    <t>@deutschewindtechnik</t>
  </si>
  <si>
    <t>@niwaduwata</t>
  </si>
  <si>
    <t>@samsunga04e-dp7kj</t>
  </si>
  <si>
    <t>@mohamedredhahlm-bt5st</t>
  </si>
  <si>
    <t>@attilazoltano</t>
  </si>
  <si>
    <t>@rajabnatshah</t>
  </si>
  <si>
    <t>@iceglacierarnar</t>
  </si>
  <si>
    <t>@jeremymcguire-mq3ye</t>
  </si>
  <si>
    <t>@flameofdemocracy</t>
  </si>
  <si>
    <t>@volp24k</t>
  </si>
  <si>
    <t>@lolteos</t>
  </si>
  <si>
    <t>@decipheringstories</t>
  </si>
  <si>
    <t>@valmartinireland</t>
  </si>
  <si>
    <t>@fazzrito</t>
  </si>
  <si>
    <t>@mirimeisiliel</t>
  </si>
  <si>
    <t>@resizefilms</t>
  </si>
  <si>
    <t>@funnstuff</t>
  </si>
  <si>
    <t>@eyjolfurgislason</t>
  </si>
  <si>
    <t>@billy97ify</t>
  </si>
  <si>
    <t>@bezeoner</t>
  </si>
  <si>
    <t>@paragratanpara</t>
  </si>
  <si>
    <t>@icegamingshorts3</t>
  </si>
  <si>
    <t>@ilovekudaliniyoga</t>
  </si>
  <si>
    <t>@ja-zh5xi</t>
  </si>
  <si>
    <t>@libertarianrf</t>
  </si>
  <si>
    <t>@jan65nl</t>
  </si>
  <si>
    <t>@viktor_raskat</t>
  </si>
  <si>
    <t>@egabeava</t>
  </si>
  <si>
    <t>@mariasantos-uu2bk</t>
  </si>
  <si>
    <t>@ballistichydrant</t>
  </si>
  <si>
    <t>@totalignition</t>
  </si>
  <si>
    <t>@david-io9nj</t>
  </si>
  <si>
    <t>Open Channel URL in Browser</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</si>
  <si>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&lt;value&gt;D:\NodeXL\_touve&lt;/value&gt;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</si>
  <si>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#nxltouve&lt;/value&gt;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http://www.touve.com/watch?v=ZelT_UrisQk&amp;amp;feature=youtu.be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http://www.touve.com/watch?v=ZelT_UrisQk&amp;amp;feature=youtu.be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http://www.touve.com/playlist?list=PLenh213llmcYF0pwQm5NjUAINRLrHoELB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t>
  </si>
  <si>
    <t>mp;utm_medium=twitter&amp;amp;utm_campaign=from-the-front-line-of-strataconf-a-vmware-perspective
http://tweetedtimes.com/#!/timoreilly
http://strataconf.com/strata2013/publi
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</si>
  <si>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</si>
  <si>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</si>
  <si>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</si>
  <si>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</si>
  <si>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</si>
  <si>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</si>
  <si>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</si>
  <si>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</si>
  <si>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</si>
  <si>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</si>
  <si>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</si>
  <si>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</si>
  <si>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</si>
  <si>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</si>
  <si>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</si>
  <si>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</si>
  <si>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</si>
  <si>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</si>
  <si>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</si>
  <si>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</si>
  <si>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</si>
  <si>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GraphSource░touveUser▓GraphTerm░energy transition▓ImportDescription░The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video.▓ImportSuggestedTitle░touve Users energy transition▓ImportSuggestedFileNameNoExtension░2024-01-20 04-02-19 NodeXL touve Users energy transition
▓LayoutAlgorithm░The graph was laid out using the Harel-Koren Fast Multiscale layout algorithm.▓GraphDirectedness░The graph is directed.▓GroupingDescription░The graph's vertices were grouped by cluster using the Clauset-Newman-Moore cluster algorithm.</t>
  </si>
  <si>
    <t>G1: G1</t>
  </si>
  <si>
    <t>G2: G2</t>
  </si>
  <si>
    <t>G3: G3</t>
  </si>
  <si>
    <t>G4: G4</t>
  </si>
  <si>
    <t>G5: G5</t>
  </si>
  <si>
    <t>G6: G6</t>
  </si>
  <si>
    <t>G7: G7</t>
  </si>
  <si>
    <t>G8: G8</t>
  </si>
  <si>
    <t>G9: G9</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</si>
  <si>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</si>
  <si>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</si>
  <si>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</si>
  <si>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</si>
  <si>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</si>
  <si>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</si>
  <si>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</si>
  <si>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</si>
  <si>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</si>
  <si>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</si>
  <si>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</si>
  <si>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</si>
  <si>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</si>
  <si>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</si>
  <si>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</si>
  <si>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</si>
  <si>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</si>
  <si>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</si>
  <si>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</si>
  <si>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</si>
  <si>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</si>
  <si>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touveUser</t>
  </si>
  <si>
    <t>energy transition</t>
  </si>
  <si>
    <t>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</si>
  <si>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</si>
  <si>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</si>
  <si>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</si>
  <si>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</si>
  <si>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</si>
  <si>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</si>
  <si>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</si>
  <si>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</si>
  <si>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</si>
  <si>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</si>
  <si>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</si>
  <si>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https://www.safa.sa.gov.au/environmental-s-governance/energy</t>
  </si>
  <si>
    <t>https://youtu.be/GtgaXD0Rr9g?si=aYXnyQXCB5uhyoI7</t>
  </si>
  <si>
    <t>https://www.youtube.com/watch?v=_bAfHi_rH7Y</t>
  </si>
  <si>
    <t>https://youtu.be/YbnXMv19Hck?si=BRAmhFMIqKkn0-aO</t>
  </si>
  <si>
    <t>https://www.energymonitor.ai/tech/renewables/europe-renewables-in-2022-in-five-charts-and-what-to-expect-in-2023</t>
  </si>
  <si>
    <t>https://www.cleanairalliance.org/old-and-unsafe</t>
  </si>
  <si>
    <t>https://www.youtube.com/watch?v=htoNuyYjNwg</t>
  </si>
  <si>
    <t>https://www.youtube.com/watch?v=G3GDuCF_pbI</t>
  </si>
  <si>
    <t>https://www.youtube.com/watch?v=MlTnMbGVRlw</t>
  </si>
  <si>
    <t>https://www.youtube.com/watch?v=gl2OcZpTKqE</t>
  </si>
  <si>
    <t>Entire Graph Count</t>
  </si>
  <si>
    <t>Top URLs In Comment in G1</t>
  </si>
  <si>
    <t>https://www.youtube.com/watch?v=75c-kHKv0O4&amp;amp;t=3m17s</t>
  </si>
  <si>
    <t>https://www.youtube.com/watch?v=75c-kHKv0O4&amp;amp;t=10m30s</t>
  </si>
  <si>
    <t>http://farts.no/</t>
  </si>
  <si>
    <t>https://www.youtube.com/watch?v=yBF2fGUO5cQ&amp;amp;t=8m52s</t>
  </si>
  <si>
    <t>Top URLs In Comment in G2</t>
  </si>
  <si>
    <t>G1 Count</t>
  </si>
  <si>
    <t>https://www.youtube.com/watch?v=za6dE5JrNB0&amp;amp;t=13m00s</t>
  </si>
  <si>
    <t>https://www.youtube.com/watch?v=za6dE5JrNB0&amp;amp;t=2m30s</t>
  </si>
  <si>
    <t>Top URLs In Comment in G3</t>
  </si>
  <si>
    <t>G2 Count</t>
  </si>
  <si>
    <t>http://backup.at/</t>
  </si>
  <si>
    <t>https://www.youtube.com/watch?v=FdMiVnA6Az0&amp;amp;t=10m11s</t>
  </si>
  <si>
    <t>Top URLs In Comment in G4</t>
  </si>
  <si>
    <t>G3 Count</t>
  </si>
  <si>
    <t>https://www.youtube.com/watch?v=E39neWnw9AA&amp;amp;t=00m06s</t>
  </si>
  <si>
    <t>https://www.youtube.com/watch?v=E39neWnw9AA&amp;amp;t=03m32s</t>
  </si>
  <si>
    <t>https://www.youtube.com/watch?v=E39neWnw9AA&amp;amp;t=06m10s</t>
  </si>
  <si>
    <t>https://www.youtube.com/watch?v=E39neWnw9AA&amp;amp;t=08m40s</t>
  </si>
  <si>
    <t>https://www.youtube.com/watch?v=E39neWnw9AA&amp;amp;t=11m04s</t>
  </si>
  <si>
    <t>https://www.youtube.com/watch?v=E39neWnw9AA&amp;amp;t=13m27s</t>
  </si>
  <si>
    <t>https://www.youtube.com/watch?v=E39neWnw9AA&amp;amp;t=15m47s</t>
  </si>
  <si>
    <t>https://www.youtube.com/watch?v=E39neWnw9AA&amp;amp;t=18m06s</t>
  </si>
  <si>
    <t>https://www.youtube.com/watch?v=E39neWnw9AA&amp;amp;t=2m43s</t>
  </si>
  <si>
    <t>https://www.youtube.com/watch?v=E39neWnw9AA&amp;amp;t=5m37s</t>
  </si>
  <si>
    <t>Top URLs In Comment in G5</t>
  </si>
  <si>
    <t>G4 Count</t>
  </si>
  <si>
    <t>https://www.youtube.com/watch?v=UVf2Yw7uFoE&amp;amp;t=33m10s</t>
  </si>
  <si>
    <t>https://www.youtube.com/watch?v=UVf2Yw7uFoE&amp;amp;t=25m03s</t>
  </si>
  <si>
    <t>Top URLs In Comment in G6</t>
  </si>
  <si>
    <t>G5 Count</t>
  </si>
  <si>
    <t>https://www.youtube.com/watch?v=KehRZMSIwSw</t>
  </si>
  <si>
    <t>https://www.youtube.com/watch?v=W0PJcRLzmdU</t>
  </si>
  <si>
    <t>https://www.youtube.com/watch?v=ic03mjYxPBc</t>
  </si>
  <si>
    <t>https://www.youtube.com/watch?v=_4OniZKnIv4</t>
  </si>
  <si>
    <t>https://www.youtube.com/watch?v=PhTynXqTdeY</t>
  </si>
  <si>
    <t>https://www.youtube.com/watch?v=ydSKmaCewo4</t>
  </si>
  <si>
    <t>https://www.youtube.com/watch?v=6qtdM6vQSvo</t>
  </si>
  <si>
    <t>Top URLs In Comment in G7</t>
  </si>
  <si>
    <t>G6 Count</t>
  </si>
  <si>
    <t>https://www.youtube.com/watch?v=v2nhssPW77I&amp;amp;t=1s</t>
  </si>
  <si>
    <t>https://www.youtube.com/watch?v=5HL1BEC024g</t>
  </si>
  <si>
    <t>https://www.youtube.com/watch?v=FdMiVnA6Az0&amp;amp;t=00m00s</t>
  </si>
  <si>
    <t>https://www.youtube.com/watch?v=FdMiVnA6Az0&amp;amp;t=01m21s</t>
  </si>
  <si>
    <t>https://www.youtube.com/watch?v=FdMiVnA6Az0&amp;amp;t=02m42s</t>
  </si>
  <si>
    <t>https://www.youtube.com/watch?v=FdMiVnA6Az0&amp;amp;t=03m37s</t>
  </si>
  <si>
    <t>https://www.youtube.com/watch?v=FdMiVnA6Az0&amp;amp;t=05m01s</t>
  </si>
  <si>
    <t>https://www.youtube.com/watch?v=FdMiVnA6Az0&amp;amp;t=07m22s</t>
  </si>
  <si>
    <t>https://www.youtube.com/watch?v=FdMiVnA6Az0&amp;amp;t=09m30s</t>
  </si>
  <si>
    <t>https://www.youtube.com/watch?v=FdMiVnA6Az0&amp;amp;t=11m21s</t>
  </si>
  <si>
    <t>Top URLs In Comment in G8</t>
  </si>
  <si>
    <t>G7 Count</t>
  </si>
  <si>
    <t>Top URLs In Comment in G9</t>
  </si>
  <si>
    <t>G8 Count</t>
  </si>
  <si>
    <t>G9 Count</t>
  </si>
  <si>
    <t>Top URLs In Comment</t>
  </si>
  <si>
    <t>https://www.safa.sa.gov.au/environmental-s-governance/energy https://www.energymonitor.ai/tech/renewables/europe-renewables-in-2022-in-five-charts-and-what-to-expect-in-2023 https://www.cleanairalliance.org/old-and-unsafe https://www.youtube.com/watch?v=htoNuyYjNwg https://www.youtube.com/watch?v=75c-kHKv0O4&amp;amp;t=3m17s https://www.youtube.com/watch?v=75c-kHKv0O4&amp;amp;t=10m30s http://farts.no/ https://www.youtube.com/watch?v=yBF2fGUO5cQ&amp;amp;t=8m52s</t>
  </si>
  <si>
    <t>https://www.youtube.com/watch?v=za6dE5JrNB0&amp;amp;t=13m00s https://www.youtube.com/watch?v=za6dE5JrNB0&amp;amp;t=2m30s</t>
  </si>
  <si>
    <t>https://youtu.be/GtgaXD0Rr9g?si=aYXnyQXCB5uhyoI7 https://www.youtube.com/watch?v=_bAfHi_rH7Y https://youtu.be/YbnXMv19Hck?si=BRAmhFMIqKkn0-aO http://backup.at/ https://www.youtube.com/watch?v=FdMiVnA6Az0&amp;amp;t=10m11s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</si>
  <si>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 https://www.youtube.com/watch?v=E39neWnw9AA&amp;amp;t=2m43s https://www.youtube.com/watch?v=E39neWnw9AA&amp;amp;t=5m37s</t>
  </si>
  <si>
    <t>https://www.youtube.com/watch?v=UVf2Yw7uFoE&amp;amp;t=33m10s https://www.youtube.com/watch?v=UVf2Yw7uFoE&amp;amp;t=25m03s</t>
  </si>
  <si>
    <t>https://www.youtube.com/watch?v=G3GDuCF_pbI https://www.youtube.com/watch?v=MlTnMbGVRlw https://www.youtube.com/watch?v=gl2OcZpTKqE https://www.youtube.com/watch?v=KehRZMSIwSw https://www.youtube.com/watch?v=W0PJcRLzmdU https://www.youtube.com/watch?v=ic03mjYxPBc https://www.youtube.com/watch?v=_4OniZKnIv4 https://www.youtube.com/watch?v=PhTynXqTdeY https://www.youtube.com/watch?v=ydSKmaCewo4 https://www.youtube.com/watch?v=6qtdM6vQSvo</t>
  </si>
  <si>
    <t>https://www.youtube.com/watch?v=v2nhssPW77I&amp;amp;t=1s https://www.youtube.com/watch?v=5HL1BEC024g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</si>
  <si>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Top Domains In Comment in Entire Graph</t>
  </si>
  <si>
    <t>youtu.be</t>
  </si>
  <si>
    <t>gov.au</t>
  </si>
  <si>
    <t>energymonitor.ai</t>
  </si>
  <si>
    <t>cleanairalliance.org</t>
  </si>
  <si>
    <t>greentechmedia.com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</si>
  <si>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</si>
  <si>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</si>
  <si>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</si>
  <si>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</si>
  <si>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</si>
  <si>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</si>
  <si>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</si>
  <si>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</si>
  <si>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</si>
  <si>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t>
  </si>
  <si>
    <t>youtube.com gov.au energymonitor.ai cleanairalliance.org farts.no</t>
  </si>
  <si>
    <t>youtu.be youtube.com backup.at</t>
  </si>
  <si>
    <t>youtube.com greentechmedia.com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</si>
  <si>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</si>
  <si>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</si>
  <si>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</si>
  <si>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</si>
  <si>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</si>
  <si>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</si>
  <si>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</si>
  <si>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</si>
  <si>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</si>
  <si>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</si>
  <si>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t>
  </si>
  <si>
    <t>Top Words in Comment in Entire Graph</t>
  </si>
  <si>
    <t>energy</t>
  </si>
  <si>
    <t>nuclear</t>
  </si>
  <si>
    <t>power</t>
  </si>
  <si>
    <t>solar</t>
  </si>
  <si>
    <t>climate</t>
  </si>
  <si>
    <t>fossil</t>
  </si>
  <si>
    <t>green</t>
  </si>
  <si>
    <t>world</t>
  </si>
  <si>
    <t>people</t>
  </si>
  <si>
    <t>wind</t>
  </si>
  <si>
    <t>Top Words in Comment in G1</t>
  </si>
  <si>
    <t>renewables</t>
  </si>
  <si>
    <t>cost</t>
  </si>
  <si>
    <t>erik</t>
  </si>
  <si>
    <t>transition</t>
  </si>
  <si>
    <t>Top Words in Comment in G2</t>
  </si>
  <si>
    <t>grid</t>
  </si>
  <si>
    <t>co2</t>
  </si>
  <si>
    <t>global</t>
  </si>
  <si>
    <t>Top Words in Comment in G3</t>
  </si>
  <si>
    <t>oil</t>
  </si>
  <si>
    <t>production</t>
  </si>
  <si>
    <t>Top Words in Comment in G4</t>
  </si>
  <si>
    <t>plants</t>
  </si>
  <si>
    <t>fuels</t>
  </si>
  <si>
    <t>Top Words in Comment in G5</t>
  </si>
  <si>
    <t>planet</t>
  </si>
  <si>
    <t>humans</t>
  </si>
  <si>
    <t>renewable</t>
  </si>
  <si>
    <t>Top Words in Comment in G6</t>
  </si>
  <si>
    <t>change</t>
  </si>
  <si>
    <t>Top Words in Comment in G7</t>
  </si>
  <si>
    <t>lithium</t>
  </si>
  <si>
    <t>mining</t>
  </si>
  <si>
    <t>batteries</t>
  </si>
  <si>
    <t>prices</t>
  </si>
  <si>
    <t>time</t>
  </si>
  <si>
    <t>Top Words in Comment in G8</t>
  </si>
  <si>
    <t>Top Words in Comment in G9</t>
  </si>
  <si>
    <t>Top Words in Comment</t>
  </si>
  <si>
    <t>energy nuclear power solar renewables fossil cost wind erik transition</t>
  </si>
  <si>
    <t>energy grid green world co2 fossil power global nuclear climate</t>
  </si>
  <si>
    <t>energy climate fossil people world global oil solar production green</t>
  </si>
  <si>
    <t>energy green power nuclear fossil climate people plants fuels world</t>
  </si>
  <si>
    <t>energy planet solar humans nuclear people renewable wind oil power</t>
  </si>
  <si>
    <t>energy renewable solar wind change climate power co2 fossil global</t>
  </si>
  <si>
    <t>energy solar transition change world lithium mining batteries prices time</t>
  </si>
  <si>
    <t>power world</t>
  </si>
  <si>
    <t>Top Word Pairs in Comment in Entire Graph</t>
  </si>
  <si>
    <t>fossil,fuels</t>
  </si>
  <si>
    <t>climate,change</t>
  </si>
  <si>
    <t>renewable,energy</t>
  </si>
  <si>
    <t>fossil,fuel</t>
  </si>
  <si>
    <t>wind,solar</t>
  </si>
  <si>
    <t>nuclear,power</t>
  </si>
  <si>
    <t>energy,transition</t>
  </si>
  <si>
    <t>green,energy</t>
  </si>
  <si>
    <t>solar,wind</t>
  </si>
  <si>
    <t>power,plants</t>
  </si>
  <si>
    <t>Top Word Pairs in Comment in G1</t>
  </si>
  <si>
    <t>base,load</t>
  </si>
  <si>
    <t>nuclear,energy</t>
  </si>
  <si>
    <t>molten,salt</t>
  </si>
  <si>
    <t>Top Word Pairs in Comment in G2</t>
  </si>
  <si>
    <t>national,grid</t>
  </si>
  <si>
    <t>solar,pv</t>
  </si>
  <si>
    <t>raw,materials</t>
  </si>
  <si>
    <t>existing,national</t>
  </si>
  <si>
    <t>millions,millions</t>
  </si>
  <si>
    <t>rare,earth</t>
  </si>
  <si>
    <t>green,house</t>
  </si>
  <si>
    <t>green,transition</t>
  </si>
  <si>
    <t>Top Word Pairs in Comment in G3</t>
  </si>
  <si>
    <t>global,warming</t>
  </si>
  <si>
    <t>electric,cars</t>
  </si>
  <si>
    <t>heat,pumps</t>
  </si>
  <si>
    <t>climate,emergency</t>
  </si>
  <si>
    <t>carbon,dioxide</t>
  </si>
  <si>
    <t>Top Word Pairs in Comment in G4</t>
  </si>
  <si>
    <t>energy,revolution</t>
  </si>
  <si>
    <t>solar,panels</t>
  </si>
  <si>
    <t>clean,energy</t>
  </si>
  <si>
    <t>stone,age</t>
  </si>
  <si>
    <t>Top Word Pairs in Comment in G5</t>
  </si>
  <si>
    <t>oil,gas</t>
  </si>
  <si>
    <t>standing,stock</t>
  </si>
  <si>
    <t>ecological,restoration</t>
  </si>
  <si>
    <t>restoration,enhancement</t>
  </si>
  <si>
    <t>ecologically,constrained</t>
  </si>
  <si>
    <t>habitable,zone</t>
  </si>
  <si>
    <t>zone,planet</t>
  </si>
  <si>
    <t>Top Word Pairs in Comment in G6</t>
  </si>
  <si>
    <t>energy,storage</t>
  </si>
  <si>
    <t>mw,m2</t>
  </si>
  <si>
    <t>solar,energy</t>
  </si>
  <si>
    <t>Top Word Pairs in Comment in G7</t>
  </si>
  <si>
    <t>solar,panel</t>
  </si>
  <si>
    <t>manhattan,institute</t>
  </si>
  <si>
    <t>lithium,batteries</t>
  </si>
  <si>
    <t>metals,mined</t>
  </si>
  <si>
    <t>Top Word Pairs in Comment in G8</t>
  </si>
  <si>
    <t>Top Word Pairs in Comment in G9</t>
  </si>
  <si>
    <t>Top Word Pairs in Comment</t>
  </si>
  <si>
    <t>fossil,fuels  wind,solar  energy,transition  base,load  climate,change  nuclear,energy  molten,salt  power,plants  nuclear,power  solar,wind</t>
  </si>
  <si>
    <t>fossil,fuels  national,grid  climate,change  solar,pv  raw,materials  existing,national  millions,millions  rare,earth  green,house  green,transition</t>
  </si>
  <si>
    <t>fossil,fuel  climate,change  fossil,fuels  global,warming  renewable,energy  electric,cars  raw,materials  heat,pumps  climate,emergency  carbon,dioxide</t>
  </si>
  <si>
    <t>fossil,fuels  power,plants  nuclear,power  green,energy  energy,revolution  solar,panels  clean,energy  fossil,fuel  stone,age  climate,change</t>
  </si>
  <si>
    <t>solar,panels  renewable,energy  oil,gas  standing,stock  ecological,restoration  restoration,enhancement  ecologically,constrained  green,energy  habitable,zone  zone,planet</t>
  </si>
  <si>
    <t>renewable,energy  climate,change  fossil,fuels  fossil,fuel  wind,solar  solar,wind  energy,storage  mw,m2  solar,energy  solar,panels</t>
  </si>
  <si>
    <t>climate,change  wind,solar  solar,panel  manhattan,institute  fossil,fuels  renewable,energy  solar,panels  fossil,fuel  lithium,batteries  metals,mined</t>
  </si>
  <si>
    <t>URLs In Comment by Count</t>
  </si>
  <si>
    <t>https://www.youtube.com/watch?v=sgOEGKDVvsg&amp;amp;t=26m30s https://www.youtube.com/watch?v=sgOEGKDVvsg&amp;amp;t=26m38s</t>
  </si>
  <si>
    <t>https://www.youtube.com/watch?v=sgOEGKDVvsg&amp;amp;t=19m52s</t>
  </si>
  <si>
    <t>https://www.youtube.com/watch?v=gLvkWpnzba8&amp;amp;t=02m02s</t>
  </si>
  <si>
    <t>https://www.youtube.com/watch?v=gLvkWpnzba8&amp;amp;t=23m43s</t>
  </si>
  <si>
    <t>https://www.greentechmedia.com/articles/read/americas-concentrated-solar-power-companies-have-all-but-disappeared</t>
  </si>
  <si>
    <t>https://www.youtube.com/watch?v=gLvkWpnzba8&amp;amp;t=3m19s https://www.youtube.com/watch?v=gLvkWpnzba8&amp;amp;t=3m20s</t>
  </si>
  <si>
    <t>https://www.youtube.com/watch?v=E39neWnw9AA&amp;amp;t=2m43s https://www.youtube.com/watch?v=E39neWnw9AA&amp;amp;t=5m37s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</si>
  <si>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</si>
  <si>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https://www.energymonitor.ai/tech/renewables/europe-renewables-in-2022-in-five-charts-and-what-to-expect-in-2023 https://www.cleanairalliance.org/old-and-unsafe</t>
  </si>
  <si>
    <t>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</si>
  <si>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URLs In Comment by Salience</t>
  </si>
  <si>
    <t>https://www.youtube.com/watch?v=gLvkWpnzba8&amp;amp;t=3m20s https://www.youtube.com/watch?v=gLvkWpnzba8&amp;amp;t=3m19s</t>
  </si>
  <si>
    <t>https://www.youtube.com/watch?v=vvAOiJ6wxj0 https://www.youtube.com/watch?v=USXohf2Wp_0 https://www.youtube.com/watch?v=MaA0-ulhEMY https://www.youtube.com/watch?v=0pseygWgdGo&amp;amp;t=23s https://www.youtube.com/watch?v=S1mUjLAHOF4 https://www.youtube.com/watch?v=W0PJcRLzmdU https://www.youtube.com/watch?v=igWY1-waFt0 https://www.youtube.com/watch?v=ydSKmaCewo4 https://www.youtube.com/watch?v=_4OniZKnIv4 https://www.youtube.com/watch?v=KehRZMSIwSw</t>
  </si>
  <si>
    <t>https://www.youtube.com/watch?v=E39neWnw9AA&amp;amp;t=06m10s https://www.youtube.com/watch?v=E39neWnw9AA&amp;amp;t=15m47s https://www.youtube.com/watch?v=E39neWnw9AA&amp;amp;t=11m04s https://www.youtube.com/watch?v=E39neWnw9AA&amp;amp;t=00m06s https://www.youtube.com/watch?v=E39neWnw9AA&amp;amp;t=03m32s https://www.youtube.com/watch?v=E39neWnw9AA&amp;amp;t=18m06s https://www.youtube.com/watch?v=E39neWnw9AA&amp;amp;t=13m27s https://www.youtube.com/watch?v=E39neWnw9AA&amp;amp;t=08m40s</t>
  </si>
  <si>
    <t>https://www.youtube.com/watch?v=FdMiVnA6Az0&amp;amp;t=09m30s https://www.youtube.com/watch?v=FdMiVnA6Az0&amp;amp;t=07m22s https://www.youtube.com/watch?v=FdMiVnA6Az0&amp;amp;t=02m42s https://www.youtube.com/watch?v=FdMiVnA6Az0&amp;amp;t=05m01s https://www.youtube.com/watch?v=FdMiVnA6Az0&amp;amp;t=11m21s https://www.youtube.com/watch?v=FdMiVnA6Az0&amp;amp;t=00m00s https://www.youtube.com/watch?v=FdMiVnA6Az0&amp;amp;t=03m37s https://www.youtube.com/watch?v=FdMiVnA6Az0&amp;amp;t=01m21s</t>
  </si>
  <si>
    <t>Domains In Comment by Count</t>
  </si>
  <si>
    <t>energymonitor.ai cleanairalliance.org</t>
  </si>
  <si>
    <t>Domains In Comment by Salience</t>
  </si>
  <si>
    <t>Hashtags In Comment by Count</t>
  </si>
  <si>
    <t>Hashtags In Comment by Salience</t>
  </si>
  <si>
    <t>Top Words in Comment by Count</t>
  </si>
  <si>
    <t>bev energy mining amount percent copper ice weight cost prices</t>
  </si>
  <si>
    <t>book change step china doom people write politicians pass man</t>
  </si>
  <si>
    <t>batteries lithium easily iron grids cost decades sodium aged battery</t>
  </si>
  <si>
    <t>co2 sense asymptotic destroy emitted whenchina 13 accelerating 2000 faster</t>
  </si>
  <si>
    <t>co2 oil crude quote bacon censorship hustle renewable favorite everyday</t>
  </si>
  <si>
    <t>man throwing helps elbow toxic right mechanically stuff heard produced</t>
  </si>
  <si>
    <t>nuclear time propose trying power decades simple alternatively energy happy</t>
  </si>
  <si>
    <t>xucked effort conclusion</t>
  </si>
  <si>
    <t>000 insurance corporations conservative percent foundations grown total scholarship peter</t>
  </si>
  <si>
    <t>time reality population billion global strictly people view lot humanity</t>
  </si>
  <si>
    <t>oil fake renewable source news listen</t>
  </si>
  <si>
    <t>substantive choice republic develop</t>
  </si>
  <si>
    <t>change mining transition life energy corporations presently power earth economic</t>
  </si>
  <si>
    <t>time difference prepared emissions responsible spend personally financial resources money</t>
  </si>
  <si>
    <t>god jesus world trust time warned believeth flesh ## eyes</t>
  </si>
  <si>
    <t>cost unemployed dictates survival outweigh robots eat eyes measured capitalist</t>
  </si>
  <si>
    <t>comparing think assume cars behaves generations future calculated scratch production</t>
  </si>
  <si>
    <t>renewable levels energy fossil discussions gentleman makers policy knowledge materials</t>
  </si>
  <si>
    <t>field eye opening level presentation absolutely extraordinary expert</t>
  </si>
  <si>
    <t>catastrophic change flooding fires droughts energy solution comments climate wild</t>
  </si>
  <si>
    <t>5hl1bec024g wilson 14 invention heard absolute scientist world beats taylor</t>
  </si>
  <si>
    <t>messaging agenda ruled baked debate data globally inefficient truth objective</t>
  </si>
  <si>
    <t>policy people listen change funded healthy plants smoking co2 conservative</t>
  </si>
  <si>
    <t>transport eventual bicycles mass people existing options electric tiny materials</t>
  </si>
  <si>
    <t>institute manhattan policy york corporations city case understanding energy million</t>
  </si>
  <si>
    <t>indicate solar eia reported chart world wind 12 state</t>
  </si>
  <si>
    <t>humankind far mark wise mills hell energy transition</t>
  </si>
  <si>
    <t>funding coming</t>
  </si>
  <si>
    <t>26 sgoegkdvvsg 38 think recycling argument 30 depend coming 26m38s</t>
  </si>
  <si>
    <t>dr gigantic sheep change worth hoax global co released compelling</t>
  </si>
  <si>
    <t>vs 19 sgoegkdvvsg 19m52s mining capex 52 actual</t>
  </si>
  <si>
    <t>energy unreliable efficient reliable transition inefficient</t>
  </si>
  <si>
    <t>change climate attached definition tube absurd links</t>
  </si>
  <si>
    <t>evs toxic congo fossil mined fuels sense grid coal metals</t>
  </si>
  <si>
    <t>guy 50 cells truth energy ll information tosh understand opposite</t>
  </si>
  <si>
    <t>trying change battery intelligent right person vision sighted advances predict</t>
  </si>
  <si>
    <t>solar gas wind nat complete 40 20 warranties energy expert</t>
  </si>
  <si>
    <t>efficiency past oppositional energy physics axproblem hmmm economic consume sense</t>
  </si>
  <si>
    <t>1s v2nhsspw77i</t>
  </si>
  <si>
    <t>economies producing ticking continuing wildfires blowing hearing fertile thinking time</t>
  </si>
  <si>
    <t>raw prices battery cru drastically copper continue oversupply lithium 2024</t>
  </si>
  <si>
    <t>aluminum graphene uniformed battery longevity increases 59 energy gas density</t>
  </si>
  <si>
    <t>ice material subtracting bad replacing costs ev materials total amounts</t>
  </si>
  <si>
    <t>mining carbon humans call thinking green stop intensive</t>
  </si>
  <si>
    <t>truths inconvenient</t>
  </si>
  <si>
    <t>petroleum capital market assets solve magnates course widespread pollution meaner</t>
  </si>
  <si>
    <t>digressions right promoting unbearable essentially verbosity</t>
  </si>
  <si>
    <t>denial</t>
  </si>
  <si>
    <t>huge heard forgotten stores lithium africa country</t>
  </si>
  <si>
    <t>massive fuel fossil mention curious balanced production presentation subsidies</t>
  </si>
  <si>
    <t>great work</t>
  </si>
  <si>
    <t>speed development tbms</t>
  </si>
  <si>
    <t>continue network utter steady solar totally forces panels massive government</t>
  </si>
  <si>
    <t>population 2100 global 2200 burn 5b water energy term right</t>
  </si>
  <si>
    <t>power world puppy friends bidding people decided issue concentrate sad</t>
  </si>
  <si>
    <t>kind replaced chevron apple board ironic</t>
  </si>
  <si>
    <t>watching changer stopped game sigh</t>
  </si>
  <si>
    <t>bbc tells stupid lying</t>
  </si>
  <si>
    <t>gas answer trees bottled cooking worried heating stupid green death</t>
  </si>
  <si>
    <t>approaching frankly china cooperation india deluded polution zero reduce thinks</t>
  </si>
  <si>
    <t>universe entire control renewable powered energy profits rich mega</t>
  </si>
  <si>
    <t>flying fries hear batteries travel existant build world blow tech</t>
  </si>
  <si>
    <t>greedy energy earth transiting murderer life profit green demand humanity</t>
  </si>
  <si>
    <t>gonna</t>
  </si>
  <si>
    <t>solar chilly panels warming gloomy concentrators cost effective mirror global</t>
  </si>
  <si>
    <t>temp degrees limit 2023 warmer delusional notion</t>
  </si>
  <si>
    <t>planes co2 aviation mw m2 electric cirrus global solution fuel</t>
  </si>
  <si>
    <t>fossil book 10 solar batteries happen arbib worth economical ditching</t>
  </si>
  <si>
    <t>green landfill wrong power cases baseload solar dams change works</t>
  </si>
  <si>
    <t>transport 100 15 renewable emissions 30 buy talk probable bypassing</t>
  </si>
  <si>
    <t>tubing plug heat fluid month casing expensive shop special left</t>
  </si>
  <si>
    <t>energy renewable emission climate transition swb bio focus change bad</t>
  </si>
  <si>
    <t>rising ppm co2 keep reality rise talk nations technology money</t>
  </si>
  <si>
    <t>try</t>
  </si>
  <si>
    <t>worried people continuing starting ve usual good business won promises</t>
  </si>
  <si>
    <t>energy system storage renewable wind capacity believe supply generating europe</t>
  </si>
  <si>
    <t>solar tidal increase pass power coal world</t>
  </si>
  <si>
    <t>heat ghe atmos ghgs bb render balance contiguous albedo cooler</t>
  </si>
  <si>
    <t>long boat bbc bus trips positive tv transport public banned</t>
  </si>
  <si>
    <t>000 20 tilt change human starting wobble planets rain position</t>
  </si>
  <si>
    <t>solar fuels panels fossil doubt green transported built mined morocco</t>
  </si>
  <si>
    <t>hellscape troll spam</t>
  </si>
  <si>
    <t>hydro rely parts laughable electricity pioneer huge joining vermont decades</t>
  </si>
  <si>
    <t>hugs great sources working amazing newsletter gas havana covered battery</t>
  </si>
  <si>
    <t>planet save</t>
  </si>
  <si>
    <t>religion apparent change keeping reporting understands painfully epitomizes cobbled dull</t>
  </si>
  <si>
    <t>news worthy</t>
  </si>
  <si>
    <t>green code sas</t>
  </si>
  <si>
    <t>change solution climate charging energy lightenmyways solar pollution ev loss</t>
  </si>
  <si>
    <t>flare</t>
  </si>
  <si>
    <t>energy renewable global solar aviation wells potential supply 2022 gas</t>
  </si>
  <si>
    <t>climate action cop28 course change emissions tackle highs lives weather</t>
  </si>
  <si>
    <t>economy planet renewable population simple shift revolution totally people solution</t>
  </si>
  <si>
    <t>solar wind power farm tractors</t>
  </si>
  <si>
    <t>refreshing change positive stuff great managed sphere</t>
  </si>
  <si>
    <t>journalism puff peace wow</t>
  </si>
  <si>
    <t>storage cheaper yeah disclose conventional wide truth selling foundation bit</t>
  </si>
  <si>
    <t>richards basil sea torquay view expect opera satisfied erupting hanging</t>
  </si>
  <si>
    <t>hurray profits privatized socialized orphan clean wells</t>
  </si>
  <si>
    <t>documentary biased glvkwpnzba8 factual martyn bbc programme 43 23 23m43s</t>
  </si>
  <si>
    <t>world solution staying leaders followers etc east solar nations population</t>
  </si>
  <si>
    <t>fact biomass renewable emissions electricity coming energy big carbon burlington</t>
  </si>
  <si>
    <t>power fossil fuel uk reusable unfortunately increasing pollution backed green</t>
  </si>
  <si>
    <t>solar wind nuclear renewables power gas energy renewable americas damage</t>
  </si>
  <si>
    <t>stop zoom flying train</t>
  </si>
  <si>
    <t>renewables materials raw</t>
  </si>
  <si>
    <t>outdoor powerstation great extended fast cube adventures massive technology perfect</t>
  </si>
  <si>
    <t>research co2 planet minor stop gas forcing heat climate greenhouse</t>
  </si>
  <si>
    <t>glvkwpnzba8 companies 19 oil deal 3m20s law 3m19s 20 thousands</t>
  </si>
  <si>
    <t>delta greenwashing airline</t>
  </si>
  <si>
    <t>millions methane dinosaurs fire world set farted</t>
  </si>
  <si>
    <t>fly kills people uproots climate starvation methane decades fires hopeful</t>
  </si>
  <si>
    <t>industry aviation transport greenwash profit nice consume based reduce footprint</t>
  </si>
  <si>
    <t>climate science change data wef communications google event october melissa</t>
  </si>
  <si>
    <t>far emitors industries metane mention beef greatest dairy emission</t>
  </si>
  <si>
    <t>york upstate title state type city related nonsense simply north</t>
  </si>
  <si>
    <t>oil gas job great sealing wells</t>
  </si>
  <si>
    <t>energy change build power people climate think companies transition capacity</t>
  </si>
  <si>
    <t>time greatly energy right sustainables build economy accelerate regeneratives available</t>
  </si>
  <si>
    <t>renewable real energy scaleable lot rely cool wiser world tech</t>
  </si>
  <si>
    <t>powerstation great enthusiasts fast backup cube massive energy home reliable</t>
  </si>
  <si>
    <t>bbc american overnight</t>
  </si>
  <si>
    <t>review excellent</t>
  </si>
  <si>
    <t>required fart live pay stock tax human pets being future</t>
  </si>
  <si>
    <t>hydrogen sedimentary geologic lithium large basins natural provinces lithosphere white</t>
  </si>
  <si>
    <t>energy access renewable sun billion end dig coming world star</t>
  </si>
  <si>
    <t>caused change natural absolutely climateers earth billion 80 degrees dinner</t>
  </si>
  <si>
    <t>maa0 園長 ic03mjyxpbc vvaoij6wxj0 phtynxqtdey _4onizkniv4 w0pjcrlzmdu kehrzmsiwsw ydskmacewo4 0pseygwgdgo</t>
  </si>
  <si>
    <t>better battery best good earth mother electric motors</t>
  </si>
  <si>
    <t>kwh charge standing pay uk continue 10 ponder paying expensive</t>
  </si>
  <si>
    <t>intensive co2 biomass deprives solution forrest vital gaps plugging fools</t>
  </si>
  <si>
    <t>help</t>
  </si>
  <si>
    <t>whahahahaha renewable energy</t>
  </si>
  <si>
    <t>future</t>
  </si>
  <si>
    <t>क थ पय sir प ji व earth save love</t>
  </si>
  <si>
    <t>global energy burning ghg wood biomass demand growing emissions tree</t>
  </si>
  <si>
    <t>bla guys troubling delusional gay woke</t>
  </si>
  <si>
    <t>renewable beneficial electric climate</t>
  </si>
  <si>
    <t>breath</t>
  </si>
  <si>
    <t>consume population expected decrease world</t>
  </si>
  <si>
    <t>lame garbage fuels fossil</t>
  </si>
  <si>
    <t>disappointing piece lomborg propaganda bjorn listen</t>
  </si>
  <si>
    <t>energy consumption fossil worldwide combined keeping regulations mining emissions africa</t>
  </si>
  <si>
    <t>post protest iphone join starbucks sipping coffee approval</t>
  </si>
  <si>
    <t>anti pushing nuclear remember propaganda green peace</t>
  </si>
  <si>
    <t>power require oil lithium driving materials cars spent ice nuclear</t>
  </si>
  <si>
    <t>cattle sheep turbines money simpleton panels solar graze green talks</t>
  </si>
  <si>
    <t>brainwashed children mad problem</t>
  </si>
  <si>
    <t>truth industry solar electric environment green destructive cars told windmills</t>
  </si>
  <si>
    <t>corporations biden inflation act support reduction claim government nameless</t>
  </si>
  <si>
    <t>planet energy lining money environmental pockets mention spent green blight</t>
  </si>
  <si>
    <t>lignite failed rescession deindustrializing retreated plants nuclear power transition green</t>
  </si>
  <si>
    <t>sense adding cut nuclear mix energy emissions atmospheric</t>
  </si>
  <si>
    <t>power plants magnets fossil fuels edison armature generators nuclear pollution</t>
  </si>
  <si>
    <t>people knowledge green marketing evaluate nofing revolution propaganda earth zero</t>
  </si>
  <si>
    <t>immature green gullible naive</t>
  </si>
  <si>
    <t>climate nature world long vastly expectations alarmism right fact processed</t>
  </si>
  <si>
    <t>biggest pulled scam humanity</t>
  </si>
  <si>
    <t>fuels fossil renewables matters matter</t>
  </si>
  <si>
    <t>asia german production moving expensive orban nato manufacturer sitting best</t>
  </si>
  <si>
    <t>elements copper form etc costs solar lithium vast 15 cobalt</t>
  </si>
  <si>
    <t>energy deep volcanic form water started chance solar environmentalists vents</t>
  </si>
  <si>
    <t>energy coal america wind germany produced plants chopping renewable south</t>
  </si>
  <si>
    <t>green solar sources redundant like storage fuels wind sunny fossil</t>
  </si>
  <si>
    <t>energy time renewable fact dollars mills lunacy panels wake spent</t>
  </si>
  <si>
    <t>nuclear facility evil modern attack bombed plants political todays broken</t>
  </si>
  <si>
    <t>transport minerals resources term mass higher capital earth projects electrification</t>
  </si>
  <si>
    <t>owned narratives annoying elitist billionaire 20min throat down crammed bruh</t>
  </si>
  <si>
    <t>china power installed choice booming charge stations eng gas cheaper</t>
  </si>
  <si>
    <t>bs mills current consfused think growing human batteries infinity wind</t>
  </si>
  <si>
    <t>people hypocritical traffic block far protest ll form support</t>
  </si>
  <si>
    <t>transport public collective</t>
  </si>
  <si>
    <t>uk source power glad uranium method plants permanent nuclear essex</t>
  </si>
  <si>
    <t>lie dollars money unnecessary wake previous life like tax ridiculous</t>
  </si>
  <si>
    <t>complete incompetence hysteria</t>
  </si>
  <si>
    <t>oil dependant energy great foreign worked countries yeah</t>
  </si>
  <si>
    <t>nuclear hydrogen change power airbus irrational happy climate embrace airplanes</t>
  </si>
  <si>
    <t>75 sale car comical earlier 2035 99 2040 electric curve</t>
  </si>
  <si>
    <t>farms beautiful destroying solar green land arable</t>
  </si>
  <si>
    <t>eco propaganda knowledge intelligence people</t>
  </si>
  <si>
    <t>people climate arrogance change real best hypothetical dubious willing save</t>
  </si>
  <si>
    <t>e39newnw9aa 2m43s real 37 energy consumption destroying emotions art 5m37s</t>
  </si>
  <si>
    <t>age stone people human living live world time like high</t>
  </si>
  <si>
    <t>paris push commitment being completed targets india</t>
  </si>
  <si>
    <t>hurdle biggest nuclear green</t>
  </si>
  <si>
    <t>chop tink protesters green thing electric moved hear gas relative</t>
  </si>
  <si>
    <t>increase climate co2 show huge migrants negligible species thing energy</t>
  </si>
  <si>
    <t>think well renewables level understand worrying maintaining switch consumption message</t>
  </si>
  <si>
    <t>ve amazing nuclear power energy decades misinformed hopelessly clean people</t>
  </si>
  <si>
    <t>call green energies emissions desserts lithium underwater rivers part environment</t>
  </si>
  <si>
    <t>utterly people democracy dramatic system ordinary political absurd pretense situation</t>
  </si>
  <si>
    <t>batteries solved bad environment fast problem</t>
  </si>
  <si>
    <t>investing congress ukraine freedom dollars energy fund climate green approve</t>
  </si>
  <si>
    <t>poor quality</t>
  </si>
  <si>
    <t>human asked waste resources well natural energy war</t>
  </si>
  <si>
    <t>build public cars disagree achieved simpler transport transportation turbines minerals</t>
  </si>
  <si>
    <t>blue gifi assurance green black white quality red great yallow</t>
  </si>
  <si>
    <t>knell viable electricity fossil large west hoped promising death fuels</t>
  </si>
  <si>
    <t>like voice asked generator money sounds texas wind sound</t>
  </si>
  <si>
    <t>batteries plants power water etc gas evs powered burning depend</t>
  </si>
  <si>
    <t>scientists engineers states institution reformatted energy wars joint relations countries</t>
  </si>
  <si>
    <t>uneducated struggles works germany life real economy disconnected noticed</t>
  </si>
  <si>
    <t>nuclear sea plants north big larger producing 15 parks bigger</t>
  </si>
  <si>
    <t>figure won solve issue</t>
  </si>
  <si>
    <t>math subject tech green factor show mining better hear co2</t>
  </si>
  <si>
    <t>sense taxes protest higher products ready play</t>
  </si>
  <si>
    <t>green far angry grandchildren planet blue hard vote costly breathe</t>
  </si>
  <si>
    <t>hard</t>
  </si>
  <si>
    <t>superb</t>
  </si>
  <si>
    <t>time engines grids change power researching energy prepare supply fossil</t>
  </si>
  <si>
    <t>green science wilderness journalism metrics charlotte earth question hurry economist</t>
  </si>
  <si>
    <t>highly efforts appreciated great development updated keep</t>
  </si>
  <si>
    <t>energy supplies prices shot fossil independence russia green accelerating adoption</t>
  </si>
  <si>
    <t>storage sources fluctuating large energy based amazed focus grid</t>
  </si>
  <si>
    <t>compared energy sources polution thing leaves error clean exploration</t>
  </si>
  <si>
    <t>doom</t>
  </si>
  <si>
    <t>e39newnw9aa energy clean 06 fossil fuels revolution nuclear investment costs</t>
  </si>
  <si>
    <t>driver realy caar love maa</t>
  </si>
  <si>
    <t>built months energy scrappy tesla millioners green ev leading cars</t>
  </si>
  <si>
    <t>like feel fuel fossil activists group works attack false art</t>
  </si>
  <si>
    <t>people like 100 energy renewable operating diet maintenance critical started</t>
  </si>
  <si>
    <t>capitalism green energy ll stage revolution panels labour lots mobilisations</t>
  </si>
  <si>
    <t>build degrowth stuff focus</t>
  </si>
  <si>
    <t>natural hot fuels deep thomas book earth produced oil gas</t>
  </si>
  <si>
    <t>services connected extensive power energy maintenance plants smart operation range</t>
  </si>
  <si>
    <t>olaf plan revisit europe scholz france time messmer lights</t>
  </si>
  <si>
    <t>fake agenda keeping warm irony house fuel oil burn reason</t>
  </si>
  <si>
    <t>green business scam mega</t>
  </si>
  <si>
    <t>climate world electric energy people huge administration fuels capable change</t>
  </si>
  <si>
    <t>energy goals climate emerging key positive transition achieving markets</t>
  </si>
  <si>
    <t>powered energy fossil fast innovations angles nuclear solar shift sign</t>
  </si>
  <si>
    <t>motor successful best pervende</t>
  </si>
  <si>
    <t>sounds likes great doomberg</t>
  </si>
  <si>
    <t>energy people stop suggesting ideas technology nuclear calling suggestion preconceived</t>
  </si>
  <si>
    <t>nuclear random affordable ratchet gov energy reliable ai demand significantly</t>
  </si>
  <si>
    <t>technology congressional promote facilities project develop support constituencies lobby production</t>
  </si>
  <si>
    <t>capabilities help</t>
  </si>
  <si>
    <t>energy production work letter reality form solicited nuclear primary better</t>
  </si>
  <si>
    <t>china nuclear add 1974 problem highlight erik beckoning india times</t>
  </si>
  <si>
    <t>musk board elon</t>
  </si>
  <si>
    <t>great</t>
  </si>
  <si>
    <t>erik townsend time</t>
  </si>
  <si>
    <t>htonuyyjnwg vivek commission regulatory interest ramaswamy shutdown promised nuclear great</t>
  </si>
  <si>
    <t>project great work erik hard</t>
  </si>
  <si>
    <t>destroyed research nixon ordered reference smr</t>
  </si>
  <si>
    <t>republicans house family pipe building cut restriting nuclear developers oil</t>
  </si>
  <si>
    <t>nuclear profitable won base great 20 10 2001 better commercially</t>
  </si>
  <si>
    <t>supercritical m3 density xenon co2 atmospheres temp required pressure 730kg</t>
  </si>
  <si>
    <t>usa smr financially experience viable ridge china nuscale closed experiment</t>
  </si>
  <si>
    <t>lf1 tmsr google</t>
  </si>
  <si>
    <t>trust democrat vote washington jack system man agencies love ain</t>
  </si>
  <si>
    <t>plutonium uranium intended modern nuclear thorium bombs produced oil gas</t>
  </si>
  <si>
    <t>energy rely hydrogen renewable source renewables green absolutely better</t>
  </si>
  <si>
    <t>nuclear wind transition batteries cheaper solar steeply better adopt fundamentally</t>
  </si>
  <si>
    <t>nuclear climate energy like change government power transition try fuels</t>
  </si>
  <si>
    <t>land co2 renewables intermittent indirect change available energy excessive emissions</t>
  </si>
  <si>
    <t>like experiences cost gambling things luck automatic best cash correct</t>
  </si>
  <si>
    <t>western leaders scale fantastic</t>
  </si>
  <si>
    <t>fact facts rings opinion view position statements start support</t>
  </si>
  <si>
    <t>molten idea salt massively investing damage pipes inventor alvin think</t>
  </si>
  <si>
    <t>nuclear reactors energy design waste event level built build reactor</t>
  </si>
  <si>
    <t>required energy hydrogen joules place loads massive atmosphere huge technology</t>
  </si>
  <si>
    <t>linking right sounds consider schiller institute</t>
  </si>
  <si>
    <t>compete renewables moment expensive huge salt longer drop great price</t>
  </si>
  <si>
    <t>plants power water nuclear npps thermal 100 npp size speculated</t>
  </si>
  <si>
    <t>control right power money</t>
  </si>
  <si>
    <t>fuel rates current like left nuclear consumption 90 amount limited</t>
  </si>
  <si>
    <t>renewables times 30 energy 20 vs 10 density dumb 200</t>
  </si>
  <si>
    <t>great nuke prevented thorium solar installing twitter page shared living</t>
  </si>
  <si>
    <t>nuclear build renewables great</t>
  </si>
  <si>
    <t>upkeep steam mwh wasteheat watt joules gain times on_the_wire water</t>
  </si>
  <si>
    <t>nuclear renewables cost site government ontario decommissioning build reactors disaster</t>
  </si>
  <si>
    <t>leading poland smr</t>
  </si>
  <si>
    <t>heck burn friend</t>
  </si>
  <si>
    <t>factor increases pipe economy cost scale 20 10 nuclear size</t>
  </si>
  <si>
    <t>long smrs best great thorium</t>
  </si>
  <si>
    <t>nuclear 70 60 hazards 50 thorium salt co2 government public</t>
  </si>
  <si>
    <t>nuclear waste green typically vs costs smrs decade refueled creates</t>
  </si>
  <si>
    <t>parts brilliant share</t>
  </si>
  <si>
    <t>biggest quote musk reactor nuclear sky elon</t>
  </si>
  <si>
    <t>energy solar storage fuel root fossil home greed dependence electrify</t>
  </si>
  <si>
    <t>transition longer solution better energy reactor indonesia thinks begun uranium</t>
  </si>
  <si>
    <t>reactor acronyms confused tesla mark ryan lol smr nuclear fanboy</t>
  </si>
  <si>
    <t>nixon decision war thorium won nuclear deemed alienating absolutely ruled</t>
  </si>
  <si>
    <t>cells pretty problem china solar effective times climate agree waste</t>
  </si>
  <si>
    <t>believe easier people solution unfortunately west prosper control smr renewables</t>
  </si>
  <si>
    <t>china things reactor debates form talk thorium govt solar action</t>
  </si>
  <si>
    <t>cost kw waste cheaper radioactive energy solar reduced fission nuke</t>
  </si>
  <si>
    <t>reason military competitiveness reality range nuclear potential halfway left requires</t>
  </si>
  <si>
    <t>news uk nolonger rr farts carbon gov world government smrs</t>
  </si>
  <si>
    <t>class finance list hs macro personal</t>
  </si>
  <si>
    <t>nuscalepower</t>
  </si>
  <si>
    <t>disclosures appreciating proposing erik solution</t>
  </si>
  <si>
    <t>generation solar questions load grid smrs lots reliability units solution</t>
  </si>
  <si>
    <t>megawatt dollar love english kilowatt pardon 750</t>
  </si>
  <si>
    <t>uranium thorium tons msr fuel salt reactor molten reactors waste</t>
  </si>
  <si>
    <t>energy capacitors called green good high direction</t>
  </si>
  <si>
    <t>love</t>
  </si>
  <si>
    <t>meeting biden admin try awesome erik schedule thx</t>
  </si>
  <si>
    <t>energy lftrs message support poverty nuclear renewables solution waste ignores</t>
  </si>
  <si>
    <t>human physics energy understand consumption relate laws</t>
  </si>
  <si>
    <t>creates beautiful dressers created ancient art virtue cross od works</t>
  </si>
  <si>
    <t>informative knowledge subscribed</t>
  </si>
  <si>
    <t>liar nonsense</t>
  </si>
  <si>
    <t>temp dubai heat industrial meter america salvador nuclear high central</t>
  </si>
  <si>
    <t>agree</t>
  </si>
  <si>
    <t>parts bit intended great repetitive</t>
  </si>
  <si>
    <t>trump part solution quo big bush republicans shit oil books</t>
  </si>
  <si>
    <t>die ruanda dual fluid startup hinzubekommen europa tolles deutsches mittlerweile</t>
  </si>
  <si>
    <t>power nuclear wind solar drastically gas energy development scale 30</t>
  </si>
  <si>
    <t>energy renewables fossil fuel working solar smrs show excluding panel</t>
  </si>
  <si>
    <t>projects evs china power wind met west government part goals</t>
  </si>
  <si>
    <t>china economy think fdmivna6az0 like house population stagnant 10m11s right</t>
  </si>
  <si>
    <t>oil stop gas ships resources totally vehicles demonstrations thing forget</t>
  </si>
  <si>
    <t>danke</t>
  </si>
  <si>
    <t>affection earth mother news care finally great exploiting</t>
  </si>
  <si>
    <t>ownership amaze absolute religion environmentalism truth cease supposed</t>
  </si>
  <si>
    <t>climate work mining problem show people 24 technically best surprise</t>
  </si>
  <si>
    <t>world industrialization capitalism western destroy left movement inexpensive reliable despise</t>
  </si>
  <si>
    <t>vastly advocate nuclear energy green transition mankind horrible moment idea</t>
  </si>
  <si>
    <t>entire like report paper sheaf hilariously published ironic</t>
  </si>
  <si>
    <t>money happy disaster person plants global china gonna people coal</t>
  </si>
  <si>
    <t>disruptive energy spite technologies governments hope transition glimmer breakthrough</t>
  </si>
  <si>
    <t>focus displays gavnah</t>
  </si>
  <si>
    <t>inflation increasing called act renewable levels power elevated report spend</t>
  </si>
  <si>
    <t>cars electric population california states produced plants occasions energy state</t>
  </si>
  <si>
    <t>minister vote prime ll</t>
  </si>
  <si>
    <t>carbon global 20 fund tn reduction polluters bla etc tax</t>
  </si>
  <si>
    <t>fossil fighting committed exploited access insanity reserves phasing wars nice</t>
  </si>
  <si>
    <t>ao ybnxmv19hck bramhfmiqkkn0 dave resources things planned</t>
  </si>
  <si>
    <t>people context liked happening paleo current requires naive capitulate climatic</t>
  </si>
  <si>
    <t>gas pumps boilers heat released legislation being building completely sales</t>
  </si>
  <si>
    <t>oil regimes uk timeline untrustworthy million cars long show people</t>
  </si>
  <si>
    <t>wwiii population hard 60 died interpreters presenters 80 called 2050</t>
  </si>
  <si>
    <t>power collapse utlised pollution vehicles climate agree think blackouts energy</t>
  </si>
  <si>
    <t>stuff anti overtime time establishment population working talking like talks</t>
  </si>
  <si>
    <t>polls country fact trump presidential wrong suggests leading election win</t>
  </si>
  <si>
    <t>batteries ve tech countries poor etc reducing lithium show people</t>
  </si>
  <si>
    <t>nukes</t>
  </si>
  <si>
    <t>correct growth linear iea projecting forecasts</t>
  </si>
  <si>
    <t>planet wrong losing earth winning</t>
  </si>
  <si>
    <t>wind best smart sunshine money disinfectant blows</t>
  </si>
  <si>
    <t>production oil world gas decline fossil saudi investments arabia level</t>
  </si>
  <si>
    <t>tackle change suggests tipping rcp models averted meaningless predictions runaway</t>
  </si>
  <si>
    <t>analysis fantastic</t>
  </si>
  <si>
    <t>climate change saf like people energy coal united fuels good</t>
  </si>
  <si>
    <t>fdmivna6az0 die herausforderungen gas öl energie kohle iea liebreich energiesektor</t>
  </si>
  <si>
    <t>mauna change sign climate measurements think graphs etc progress co2</t>
  </si>
  <si>
    <t>energy uk cost expensive high trouble heat repairs answering simply</t>
  </si>
  <si>
    <t>solutions transition wide habits spreading damn report replace reduce methane</t>
  </si>
  <si>
    <t>technologies energy renewable materials raw costs higher cost down governments</t>
  </si>
  <si>
    <t>solutions green people world solar panels bother water fail solution</t>
  </si>
  <si>
    <t>power solved solar nuclear increases energy fossil replacement realistic sun</t>
  </si>
  <si>
    <t>sense trees destroying chopping connect down farms lot</t>
  </si>
  <si>
    <t>global warming vei eruptions century eruption degree volcanic previous totally</t>
  </si>
  <si>
    <t>think bowral weeks planet past dioxide cheers australia michael best</t>
  </si>
  <si>
    <t>acceleration ignored curve production lack tipping century masses starting feedbacks</t>
  </si>
  <si>
    <t>_bafhi_rh7y climate wrong supporting support protection hamas</t>
  </si>
  <si>
    <t>burning people vehicles vehicle plastics smoke like roads laws air</t>
  </si>
  <si>
    <t>exasperated time</t>
  </si>
  <si>
    <t>wisdom bit previous constructive comment repeating cked share soooooooooooo</t>
  </si>
  <si>
    <t>china production companies careful straits massive collapsing sectors large co2</t>
  </si>
  <si>
    <t>aliens opec</t>
  </si>
  <si>
    <t>practice service walking large burns occurs electric ev event carrington</t>
  </si>
  <si>
    <t>show solar oil prices china builds shuouldnt capitalism people outlets</t>
  </si>
  <si>
    <t>2030 discuss euro commitments statements like legally bindung politician useful</t>
  </si>
  <si>
    <t>time transition ve released unfortunately figured agree pretty phrase listening</t>
  </si>
  <si>
    <t>report chart charts projection disruption solar eia curve break rethink</t>
  </si>
  <si>
    <t>following workable like trend long plan temperature green fuels 250</t>
  </si>
  <si>
    <t>offs rip th capturing 11 emissions things practice 58 politicians</t>
  </si>
  <si>
    <t>greenpeace ally push forget warming nuclear coal germany global</t>
  </si>
  <si>
    <t>emissions avoided naples sean industry carbon conflicts love output weapon</t>
  </si>
  <si>
    <t>best people harming calculate china reduction chanel world better rule</t>
  </si>
  <si>
    <t>energy fossil fuels green nuclear installed slowed fact weird diffuse</t>
  </si>
  <si>
    <t>energy fossil fuel wind solar demand build stop manpower power</t>
  </si>
  <si>
    <t>concrete uninterupted stream structure message words limited</t>
  </si>
  <si>
    <t>evs inflamable alley blind</t>
  </si>
  <si>
    <t>climate science emergency world dr physics change clauser energy global</t>
  </si>
  <si>
    <t>entire messed generation created mess winning lol</t>
  </si>
  <si>
    <t>action guaranteed people inaction oil counteraction consistent worse control huh</t>
  </si>
  <si>
    <t>favour discovered friends weight arguements pay green bust greens global</t>
  </si>
  <si>
    <t>size technology human energy enterprise fossil fuels freely percentage 20</t>
  </si>
  <si>
    <t>russia sad 10c collapse justice climate warming stone greatest delayed</t>
  </si>
  <si>
    <t>nuclear happened produced energy works news process 5times eng8 inputted</t>
  </si>
  <si>
    <t>dork call statement comment attitude people legislation god epitomises retracts</t>
  </si>
  <si>
    <t>wealthy great cars 10 masses electric produce pricing automakers people</t>
  </si>
  <si>
    <t>industry motor majority ev enginindustry called vehicles engine acts sunak</t>
  </si>
  <si>
    <t>paying causing genocide huge thing attention cars horrible electric congo</t>
  </si>
  <si>
    <t>installed source system electric pump air heat water solar backup</t>
  </si>
  <si>
    <t>improving right impact starts feelings environment like care hope feels</t>
  </si>
  <si>
    <t>mansion great heat cheers released cooker dried water woodfired stone</t>
  </si>
  <si>
    <t>donate gravicity</t>
  </si>
  <si>
    <t>ownership international industrial employee netzero revolution featuring require worker africa</t>
  </si>
  <si>
    <t>energy ev fossil huge fuels ignore fuel manufactured policy presents</t>
  </si>
  <si>
    <t>car allen</t>
  </si>
  <si>
    <t>rich publics fuels order cleaner taxation fossil resources reduce alternatives</t>
  </si>
  <si>
    <t>green costly basis past public biden reelected appetite promises personal</t>
  </si>
  <si>
    <t>heat people work industry plants methanol power better gas consumption</t>
  </si>
  <si>
    <t>cost propaganda reality backup 100 energy provide capacity fossil 2050</t>
  </si>
  <si>
    <t>decisions think like feel trusted governments citizens government</t>
  </si>
  <si>
    <t>scam change dioxide climate carbon proves power brainwash ridiculed money</t>
  </si>
  <si>
    <t>easy sounds carrot policy economic stick rates correctly matter true</t>
  </si>
  <si>
    <t>solar krishna hare eating stop chant meat</t>
  </si>
  <si>
    <t>solar wind fix gas damaging losing nuclear installing renewables energy</t>
  </si>
  <si>
    <t>platforms solar solarpv tv add future nice</t>
  </si>
  <si>
    <t>animation program cool good</t>
  </si>
  <si>
    <t>তহপজ</t>
  </si>
  <si>
    <t>decarbonization co2 earth movement trees greening plants benefit creating harmful</t>
  </si>
  <si>
    <t>crisis socialism like marxists actual devotion scarier happening cult enemy</t>
  </si>
  <si>
    <t>happen great big results deal human lie growth physics laws</t>
  </si>
  <si>
    <t>changes calculus crisis finally realizes climate</t>
  </si>
  <si>
    <t>cost talked processing luck countries concerning minerals overcome appear good</t>
  </si>
  <si>
    <t>energy transition style life real</t>
  </si>
  <si>
    <t>200ppm 450ppm starving millennia vegetation co2 idiots 1000ppm</t>
  </si>
  <si>
    <t>humans world think solution nuclear population unfortunately reason greedy global</t>
  </si>
  <si>
    <t>like change russia resources resisted coup climate situation ukrainians ukraine</t>
  </si>
  <si>
    <t>costs subjects etc massive situation caused energy china dictators decades</t>
  </si>
  <si>
    <t>time lost happy democracy west green order hope global lable</t>
  </si>
  <si>
    <t>climate hysteria germany change happen doubled down europe reality fast</t>
  </si>
  <si>
    <t>human decarbonization survival extermination climate considering matter emergency moot talk</t>
  </si>
  <si>
    <t>energy countries developing green restricting affordable explain oil gas reliable</t>
  </si>
  <si>
    <t>corrupt china undemocratic stop goals suffice allying wiht diplomacy regimes</t>
  </si>
  <si>
    <t>decarbonization action power path viable poverty destroy people hunger disasters</t>
  </si>
  <si>
    <t>good people share things like time change economies platform mainstreams</t>
  </si>
  <si>
    <t>international promotion big bureaucracy</t>
  </si>
  <si>
    <t>copper</t>
  </si>
  <si>
    <t>co2 weather change carbon humans bears critical transitioning plant polar</t>
  </si>
  <si>
    <t>atmosphere spots wildly negative called exaggerated energy benefits green ignored</t>
  </si>
  <si>
    <t>russia mineral resources ukraine war determined high win</t>
  </si>
  <si>
    <t>house fart additional chinese gasses building green plants bet halving</t>
  </si>
  <si>
    <t>right materials lithium replace renewables recycling innovation cheaper batteries abundant</t>
  </si>
  <si>
    <t>energy moment world global delay resources obvious times things warming</t>
  </si>
  <si>
    <t>rest problem usage global cut country operate resources best rain</t>
  </si>
  <si>
    <t>trustworthy negative belive alarmists sound future listen influence</t>
  </si>
  <si>
    <t>grid electricity national millions costs times fossil pv vehicles generation</t>
  </si>
  <si>
    <t>great planet gripe maths dubious speech approach gripes fundamentally electric</t>
  </si>
  <si>
    <t>stop preferable hydrogen transportation mineral locations russia science organizations countries</t>
  </si>
  <si>
    <t>book planet convince easy review grade school sentient atmosphere individual</t>
  </si>
  <si>
    <t>solve work problem 400 co2 billion lady people economies india</t>
  </si>
  <si>
    <t>wind turbines 000 build solar panels oil leach pollute batch</t>
  </si>
  <si>
    <t>china pushing dependant safe 98 nuclear eu enrich clean reason</t>
  </si>
  <si>
    <t>decab good animals show solar activities oil co2 science human</t>
  </si>
  <si>
    <t>plan fall flaws hold right beliefs close economic technological end</t>
  </si>
  <si>
    <t>atmosphere h2o gas co2 molecules hydrogen o2 mass planet photons</t>
  </si>
  <si>
    <t>green hydrogen power battery carbon electric cars nuclear fuel dirty</t>
  </si>
  <si>
    <t>european resources steal theft colonialism begging rest end finally world</t>
  </si>
  <si>
    <t>plan show carbon zero science money work controlling control planes</t>
  </si>
  <si>
    <t>effects negative energy form results remember created utopian theory dream</t>
  </si>
  <si>
    <t>groups expense propose interests heard mention curb nuclear single weak</t>
  </si>
  <si>
    <t>ain happen</t>
  </si>
  <si>
    <t>policy lithium magnets permanent cobalt battery substantially fixed paul happening</t>
  </si>
  <si>
    <t>damned like sounds</t>
  </si>
  <si>
    <t>blue radical green</t>
  </si>
  <si>
    <t>regime public good naïve global</t>
  </si>
  <si>
    <t>energy fossil fuel growth fuels intensity sufficient 50 reality cessation</t>
  </si>
  <si>
    <t>decarbonization energy dogma sources resolve workable emr enemy diversification carbon</t>
  </si>
  <si>
    <t>laid sown 30 goose 2m30s za6de5jrnb0 egg</t>
  </si>
  <si>
    <t>corporations gas energy problem tech oil finance renewable shares ve</t>
  </si>
  <si>
    <t>like spot eliminate attempts fatal preferably choice issues being alleviate</t>
  </si>
  <si>
    <t>war tribesman past connected power african energy quo supply worth</t>
  </si>
  <si>
    <t>cycle history coming energy money life problems civilizations enjoy end</t>
  </si>
  <si>
    <t>critical insights great facts</t>
  </si>
  <si>
    <t>consumerist format society approach relations creative</t>
  </si>
  <si>
    <t>energy massive transition mineral global nuclear human resources technology climate</t>
  </si>
  <si>
    <t>spot biggest mention overpopulation blind</t>
  </si>
  <si>
    <t>happen gonna system oil electric evs stock ships worldwide people</t>
  </si>
  <si>
    <t>co2 real instantly rise deployed vegetation die eliminating requirement global</t>
  </si>
  <si>
    <t>china stable green demography states climate transition like europe world</t>
  </si>
  <si>
    <t>aluminium world ev lfp reality continue etc revisit working solar</t>
  </si>
  <si>
    <t>european union china 98 relies rare yikes earth metals</t>
  </si>
  <si>
    <t>perspective movement etc big implied population abrupt plain nice energy</t>
  </si>
  <si>
    <t>market sodium battery 10 evolution existing earth 99 solutions 15</t>
  </si>
  <si>
    <t>co2 ppm warming greenhouse energy minerals oil green 16 food</t>
  </si>
  <si>
    <t>world engines spending super intellect building global pollute efficient level</t>
  </si>
  <si>
    <t>mineral fuels disagree intensive fossil basic premise future</t>
  </si>
  <si>
    <t>independant ai humanity step planet think falling factors national consideration</t>
  </si>
  <si>
    <t>idea realized resource popularized film maker economy called humble predicament</t>
  </si>
  <si>
    <t>science good allowed world facts global innovation people huge frying</t>
  </si>
  <si>
    <t>feel humans better earth human ice 70 drastically volcanic warning</t>
  </si>
  <si>
    <t>think china</t>
  </si>
  <si>
    <t>asteroids</t>
  </si>
  <si>
    <t>oil minerals rely generation build blind finite devices alloys change</t>
  </si>
  <si>
    <t>energy keep decarbonization peasy easy inland hopefully happening people higher</t>
  </si>
  <si>
    <t>load doubt decarbonisation rubbish</t>
  </si>
  <si>
    <t>global battery beings dystopian evil nuclear working regenerative better resulting</t>
  </si>
  <si>
    <t>uranium dispersed word ev materials abundant nuclear widely recycled batteries</t>
  </si>
  <si>
    <t>heavily processing china willing earth land rare metals pollute</t>
  </si>
  <si>
    <t>energy water earth available heat incredible large amounts source generation</t>
  </si>
  <si>
    <t>ev co2 is1 battery ethanol lower money solar like nuclear</t>
  </si>
  <si>
    <t>energy power sustainable survive help nuclear cities barons safe technology</t>
  </si>
  <si>
    <t>lithium dominate tesla lfp iron mining result production batteries static</t>
  </si>
  <si>
    <t>green gold enable colonize interested 24 offering milk ve warming</t>
  </si>
  <si>
    <t>objective failings tse lady read redistribution hugo mao chávez tung</t>
  </si>
  <si>
    <t>empires anglo wwii sachs weaponizing history brutal energy world humanity</t>
  </si>
  <si>
    <t>king woman world</t>
  </si>
  <si>
    <t>regime good change framework public misunderstood global</t>
  </si>
  <si>
    <t>china mining solar batteries wind costs fission nuclear decarbonization well</t>
  </si>
  <si>
    <t>international regime europe charge dictatorship global</t>
  </si>
  <si>
    <t>processing raw material china higher build indonesia deliver materials product</t>
  </si>
  <si>
    <t>energy source power dense increasingly good opinion pragmatism green nuclear</t>
  </si>
  <si>
    <t>people individual best rights property countries world protect despise extremely</t>
  </si>
  <si>
    <t>energy materials important difference source resources machines existing exist monitored</t>
  </si>
  <si>
    <t>solarwind salt reactor molten</t>
  </si>
  <si>
    <t>extremely documentary motivate great useful process part people</t>
  </si>
  <si>
    <t>greenwashing nuclear</t>
  </si>
  <si>
    <t>energy source nuclear future sustainable believe</t>
  </si>
  <si>
    <t>fake news</t>
  </si>
  <si>
    <t>sunny countries zero weather like renewables understand easy california people</t>
  </si>
  <si>
    <t>local people west panels investments authorities solar building rooves leading</t>
  </si>
  <si>
    <t>world energy stable driven renewable giants attain green business prefer</t>
  </si>
  <si>
    <t>blind tower dr deducting accusation wave interference antenna elemagnetis true</t>
  </si>
  <si>
    <t>like feel reading narration ai</t>
  </si>
  <si>
    <t>chemistry answer</t>
  </si>
  <si>
    <t>25 25m03s cute 03 guy uvf2yw7ufoe</t>
  </si>
  <si>
    <t>planet saving long kind human</t>
  </si>
  <si>
    <t>oil gas carbon count sells burn society neutral norway world</t>
  </si>
  <si>
    <t>hydrogen power</t>
  </si>
  <si>
    <t>big country dream industrialization hypocrite ecosystem greener achieve money develop</t>
  </si>
  <si>
    <t>000 30 kwh prices euro cent cents cables contracts 100</t>
  </si>
  <si>
    <t>nuclear lot power happend windmill 100 solution info cheaper proffitable</t>
  </si>
  <si>
    <t>solar wind hydrogen waste best geothermal renewables money time technology</t>
  </si>
  <si>
    <t>energy create solar connections electronic wind industry waste destroying material</t>
  </si>
  <si>
    <t>choice renewables missing people</t>
  </si>
  <si>
    <t>required stupidest high refine panels solar amount ve silica thing</t>
  </si>
  <si>
    <t>china reach goal world lead</t>
  </si>
  <si>
    <t>planet parents children true borrowing profound inherit</t>
  </si>
  <si>
    <t>documentary exciting</t>
  </si>
  <si>
    <t>system fly sir add power generation advanced wheel kamma gear</t>
  </si>
  <si>
    <t>solar house york battery worry panels combo like space tall</t>
  </si>
  <si>
    <t>island energy worlds build beglian kind elisabeth coast princess</t>
  </si>
  <si>
    <t>energy grid pv renewable country trees tower lives places people</t>
  </si>
  <si>
    <t>luck good california</t>
  </si>
  <si>
    <t>gilette coco electricity florida teh coca kotak kwh_meter internet foamy</t>
  </si>
  <si>
    <t>invalid#zcsafez great</t>
  </si>
  <si>
    <t>harm electricity generate affect environment technology climate</t>
  </si>
  <si>
    <t>population human energy animals reduces 10 acctualy humans production plants</t>
  </si>
  <si>
    <t>solar energy panels future cheap wind thorium expensive water clean</t>
  </si>
  <si>
    <t>co2 emissions emit money metals dream stuff tax trees stealing</t>
  </si>
  <si>
    <t>planet touching borrowing powerful parents children statement inherit</t>
  </si>
  <si>
    <t>late</t>
  </si>
  <si>
    <t>kind solar bangladesh panels build villages sell mandatory buy houses</t>
  </si>
  <si>
    <t>planet parents children borrowing powerful inherit statement</t>
  </si>
  <si>
    <t>documentary great</t>
  </si>
  <si>
    <t>swapping nuclear correction boards solutions pc</t>
  </si>
  <si>
    <t>right ideas nuclear change power decades working documentary solutions reality</t>
  </si>
  <si>
    <t>ท ด ว ม ส วยก าท เป ต อย</t>
  </si>
  <si>
    <t>consume america europe reducing consumption key</t>
  </si>
  <si>
    <t>documentary hopeful great wish</t>
  </si>
  <si>
    <t>population billion 10 people</t>
  </si>
  <si>
    <t>documentary fantastic</t>
  </si>
  <si>
    <t>things owner jeremy mcguire senior appreciation odin christ hammer earth</t>
  </si>
  <si>
    <t>hydrogen energy far combining regenerative portfolios strategies standing campaign smart</t>
  </si>
  <si>
    <t>solar night nuclear</t>
  </si>
  <si>
    <t>sewage gas methane facility extaction develop</t>
  </si>
  <si>
    <t>dw</t>
  </si>
  <si>
    <t>leading love woman challenge</t>
  </si>
  <si>
    <t>companies planet apply provide people job invest descriptions better help</t>
  </si>
  <si>
    <t>interesant great documentation</t>
  </si>
  <si>
    <t>change adopt humanity worries</t>
  </si>
  <si>
    <t>hydrogen energy stop simply green ain calling woodchips burning</t>
  </si>
  <si>
    <t>leader europe energy technology</t>
  </si>
  <si>
    <t>documental propaganda siemens</t>
  </si>
  <si>
    <t>fan like wind energy motors 100s mill</t>
  </si>
  <si>
    <t>source inspiration fantastic</t>
  </si>
  <si>
    <t>russia oil gas democratic arab countries buy shameful</t>
  </si>
  <si>
    <t>attended arabia china conferences energy saudi trust</t>
  </si>
  <si>
    <t>green hysteria california farms hydrogen achieved note sodium content obsessive</t>
  </si>
  <si>
    <t>energy oil cleanest gas plants source reliable nuclear fortune best</t>
  </si>
  <si>
    <t>drill baby</t>
  </si>
  <si>
    <t>asteroid destroy sun energy earth</t>
  </si>
  <si>
    <t>solar warm house shit finland try green panel</t>
  </si>
  <si>
    <t>wonderful</t>
  </si>
  <si>
    <t>humans planet ecologically ecological zone animals habitable constrained species jobs</t>
  </si>
  <si>
    <t>utilize developing great countries</t>
  </si>
  <si>
    <t>actual informative</t>
  </si>
  <si>
    <t>planet energy renewable comsumption undertand resources believe money strongly sources</t>
  </si>
  <si>
    <t>informative</t>
  </si>
  <si>
    <t>californian lwellien mayor robert</t>
  </si>
  <si>
    <t>fuels fossil reduce dictatorships future renwables reliance</t>
  </si>
  <si>
    <t>oil 2030 gas xd norwegian</t>
  </si>
  <si>
    <t>renewable energy portugal gwh country 840 60 surpassing solely 1102</t>
  </si>
  <si>
    <t>aportar debe sociedad cosas vuelta positivas importante cientifico agradezco formar</t>
  </si>
  <si>
    <t>lützerath village german</t>
  </si>
  <si>
    <t>batteries 33 33m10s 10 uvf2yw7ufoe obsolete sad</t>
  </si>
  <si>
    <t>varios pioneros acumulador aplicar subway edificios paises aprovecharlo arena inovadores</t>
  </si>
  <si>
    <t>think missed series ve congratulations crisis energy great excellent work</t>
  </si>
  <si>
    <t>goof joe biden</t>
  </si>
  <si>
    <t>great erik pandemic love california hear fan generate impossible trying</t>
  </si>
  <si>
    <t>content erik creating job incredible check ve series amazing wait</t>
  </si>
  <si>
    <t>documentary series congratulations well energy release</t>
  </si>
  <si>
    <t>insightful amazing</t>
  </si>
  <si>
    <t>erik click people better trade engineer designer gonna</t>
  </si>
  <si>
    <t>hydrates 2000 frozen supply ng</t>
  </si>
  <si>
    <t>energy people fossil electricity difference agriculture nations primary 80 global</t>
  </si>
  <si>
    <t>politicians promising amazing best share erik netherlands widely</t>
  </si>
  <si>
    <t>great episode erik</t>
  </si>
  <si>
    <t>politicians fear lean erik hard public people world dumber sadly</t>
  </si>
  <si>
    <t>read tesla masterplan</t>
  </si>
  <si>
    <t>solar variation wind mentioned seasonal depicted useless producing</t>
  </si>
  <si>
    <t>solar domestic interesting wind nuclear geothermal benefits episode hard interested</t>
  </si>
  <si>
    <t>electricity solar substituting produced question production batteries plants left gas</t>
  </si>
  <si>
    <t>energy demand wind fossil fuels load transition base solar progress</t>
  </si>
  <si>
    <t>reality transition excellent summary challenges</t>
  </si>
  <si>
    <t>amazing work</t>
  </si>
  <si>
    <t>erik watched solution ve forums shared amazing presented series episodes</t>
  </si>
  <si>
    <t>engines series erik high voices weekly gallon ve 100 miles</t>
  </si>
  <si>
    <t>series great debates 20 change ve podcast achieved party weekly</t>
  </si>
  <si>
    <t>nuclear erik planet lend change convince power leftists fake banks</t>
  </si>
  <si>
    <t>solar 100 power renewables wind australia fossil storage battery network</t>
  </si>
  <si>
    <t>shared network erik fantastic</t>
  </si>
  <si>
    <t>biggest probability century simple best explain love 21 density team</t>
  </si>
  <si>
    <t>pitch long dream eloquently right job great work erik expressed</t>
  </si>
  <si>
    <t>solar storage lithium batteries cheap energy base scale increase growth</t>
  </si>
  <si>
    <t>engines exhaust change unused 1712 power cooling steam nonsense stop</t>
  </si>
  <si>
    <t>like cheap 75c fuel amazing 30 khkv0o4 10 10m30s</t>
  </si>
  <si>
    <t>plan show luck heard transition good transformational support career world</t>
  </si>
  <si>
    <t>like solutions well algae sargassum place pollution kerosene models factors</t>
  </si>
  <si>
    <t>nuclear uk energy smr smrs cod search neh technologies fossil</t>
  </si>
  <si>
    <t>enjoyed series episode</t>
  </si>
  <si>
    <t>world viewing erik bettering mandatory financial high school futurist storyteller</t>
  </si>
  <si>
    <t>greatly reasoned energy appreciate people unite push arguments transition critical</t>
  </si>
  <si>
    <t>email podcast help big nuclear announced erik enjoyed love fan</t>
  </si>
  <si>
    <t>colleagues well great family share friends</t>
  </si>
  <si>
    <t>good work erik</t>
  </si>
  <si>
    <t>addiction fuels fossil right necessity option viable</t>
  </si>
  <si>
    <t>70 erik cars nice source public energy brazil transport huge</t>
  </si>
  <si>
    <t>occur lost</t>
  </si>
  <si>
    <t>better energy solutions crisis awareness limited share potential podcast work</t>
  </si>
  <si>
    <t>informative well</t>
  </si>
  <si>
    <t>climate fact change usage universally fossil accepted love zero virtually</t>
  </si>
  <si>
    <t>excellent work erik</t>
  </si>
  <si>
    <t>series bravo deep awesome involved erik happen delve</t>
  </si>
  <si>
    <t>series brilliant</t>
  </si>
  <si>
    <t>episodes blood docuseries nuclear excellent boil</t>
  </si>
  <si>
    <t>canada alberta mining energy copper like constitution provinces coming pipelines</t>
  </si>
  <si>
    <t>great compilation information</t>
  </si>
  <si>
    <t>like cool theme super music</t>
  </si>
  <si>
    <t>change bring greed misinformation propaganda believe lies part climate</t>
  </si>
  <si>
    <t>whàt àbout gravity</t>
  </si>
  <si>
    <t>3m17s 75c 17 right left text readable estimations redone hand</t>
  </si>
  <si>
    <t>boy atta</t>
  </si>
  <si>
    <t>cheers mate</t>
  </si>
  <si>
    <t>energy afraid movement environmental lot slavery americans people widespread massive</t>
  </si>
  <si>
    <t>cost people eyes history empassioned epic politicians disgusted jabbering opening</t>
  </si>
  <si>
    <t>politicians present series types love facts</t>
  </si>
  <si>
    <t>people erik summary government play current goals flaws word listen</t>
  </si>
  <si>
    <t>ideas good time</t>
  </si>
  <si>
    <t>asked program nuclear development states</t>
  </si>
  <si>
    <t>eric informative</t>
  </si>
  <si>
    <t>saving</t>
  </si>
  <si>
    <t>rights progress humanity paradigm political violence mind fear superstition threatening</t>
  </si>
  <si>
    <t>gt sources coal cleaner nuclear germany brown dung oil unfortunately</t>
  </si>
  <si>
    <t>intended pun power truth</t>
  </si>
  <si>
    <t>energy cheap link obligation society realised base consumption supply environmental</t>
  </si>
  <si>
    <t>view generation cars work save electric world younger gorgeous confident</t>
  </si>
  <si>
    <t>wrong fake ve right help erik puppets valuable waiting</t>
  </si>
  <si>
    <t>energy episode crisis gravity continue townsend indispensable seeking erik emphasizing</t>
  </si>
  <si>
    <t>oil gas man interested movement book wise 40 big selling</t>
  </si>
  <si>
    <t>energy plan transition evident importance eye abundant correlation comprehensive progress</t>
  </si>
  <si>
    <t>hydropower power alot reservoirs demand high cases water baseload northern</t>
  </si>
  <si>
    <t>magnesium coal clean qualities burn seawater plants characteristics brine system</t>
  </si>
  <si>
    <t>series great</t>
  </si>
  <si>
    <t>viral</t>
  </si>
  <si>
    <t>discussions 20 discussion</t>
  </si>
  <si>
    <t>finally job good excellent erik listener macrovoices</t>
  </si>
  <si>
    <t>europe gas good oil transition reason well</t>
  </si>
  <si>
    <t>series great team</t>
  </si>
  <si>
    <t>passion balanced energy hear transition good erik issue analysis</t>
  </si>
  <si>
    <t>hydro erik 21 canada omitted resource energy minute loved episode</t>
  </si>
  <si>
    <t>thankful share erik australia</t>
  </si>
  <si>
    <t>fundamental energy thing raw level population change human living real</t>
  </si>
  <si>
    <t>fossil fuels climate viable time resources technology ultimate stop agree</t>
  </si>
  <si>
    <t>Top Words in Comment by Salience</t>
  </si>
  <si>
    <t>gas nat 40 warranties million miles hit down 8000 good</t>
  </si>
  <si>
    <t>hydrogen change power airbus irrational happy climate embrace airplanes industry</t>
  </si>
  <si>
    <t>solution unsustainable better losing fossil cheap lie wind ukraine fuels</t>
  </si>
  <si>
    <t>climate world electric energy administration fuels capable change pushing farm</t>
  </si>
  <si>
    <t>usa financially experience viable ridge china nuscale closed experiment thorium</t>
  </si>
  <si>
    <t>transition longer better reactor indonesia thinks begun uranium work lt</t>
  </si>
  <si>
    <t>news nolonger rr farts carbon gov world government smrs copenhagen</t>
  </si>
  <si>
    <t>part solution quo big bush republicans shit oil books status</t>
  </si>
  <si>
    <t>world decline saudi investments arabia level research peak concern slight</t>
  </si>
  <si>
    <t>fdmivna6az0 die herausforderungen öl energie kohle iea liebreich energiesektor 21</t>
  </si>
  <si>
    <t>science emergency world dr physics change clauser energy global pseudoscience</t>
  </si>
  <si>
    <t>mansion great heat released cooker dried water woodfired stone ceiling</t>
  </si>
  <si>
    <t>cost propaganda reality backup energy real required bad co2 green</t>
  </si>
  <si>
    <t>dioxide carbon proves power brainwash ridiculed money man atmosphere total</t>
  </si>
  <si>
    <t>horse clean home generation times government transmission grid fuels existing</t>
  </si>
  <si>
    <t>aluminium ev lfp reality continue etc revisit working solar primary</t>
  </si>
  <si>
    <t>create solar connections electronic wind industry waste destroying material germany</t>
  </si>
  <si>
    <t>grid pv energy renewable country trees tower lives places people</t>
  </si>
  <si>
    <t>combining regenerative portfolios strategies standing campaign smart generation key efficacious</t>
  </si>
  <si>
    <t>hysteria california farms hydrogen achieved note sodium content obsessive city</t>
  </si>
  <si>
    <t>oil cleanest gas plants source reliable nuclear fortune best power</t>
  </si>
  <si>
    <t>ecologically zone animals habitable constrained species jobs biomass acknowledge based</t>
  </si>
  <si>
    <t>2023 november renewable energy portugal gwh country 840 60 surpassing</t>
  </si>
  <si>
    <t>erik planet lend change convince power leftists fake banks climate</t>
  </si>
  <si>
    <t>sa gas proven miles like land giant dis tech decades</t>
  </si>
  <si>
    <t>storage batteries cheap base solar scale metals 2022 grid vehicle</t>
  </si>
  <si>
    <t>copper constitution provinces canada alberta mining energy like coming pipelines</t>
  </si>
  <si>
    <t>afraid movement environmental lot slavery americans people widespread massive believes</t>
  </si>
  <si>
    <t>importance eye abundant correlation comprehensive progress incredible great engage impact</t>
  </si>
  <si>
    <t>thing raw level population change human living real quibble idea</t>
  </si>
  <si>
    <t>Top Word Pairs in Comment by Count</t>
  </si>
  <si>
    <t>metal,parts  ice,car  copper,bev  percent,worldwide  solar,panel  amount,copper  worldwide,mining  prices,high  25,tons  20,25kg</t>
  </si>
  <si>
    <t>young,people  people,change  gloom,doom  book,china  write,book  step,young  man,step  china,pass  scare,politicians  world,write</t>
  </si>
  <si>
    <t>lasts,decades  fossil,fuels  iron,air  lithium,batteries  solar,provide  energy,ev  lot,longer  mined,easily  cost,installed  lithium,iron</t>
  </si>
  <si>
    <t>accelerating,produce  13,co2  economy,faster  producing,co2  india,asymptotic  co2,emitted  faster,acceleration  destroy,economy  2000,accelerating  produce,13</t>
  </si>
  <si>
    <t>oil,steak  problem,believe  renewable,energy  favorite,quote  co2,hustle  bacon,renewable  co2,problem  seals,everyday  crude,oil  plenty,science</t>
  </si>
  <si>
    <t>clean,heard  elbow,grease  abrasives,clean  toxic,chemicals  man,stuff  chemicals,harsh  problem,helps  produced,abrasives  harsh,mechanically  grease,throwing</t>
  </si>
  <si>
    <t>solution,simple  like,amish  effort,conserve  conserve,energy  close,solution  humanity,effort  amish,average  transition,fossil  average,humanity  fast,alternatively</t>
  </si>
  <si>
    <t>xucked,effort  conclusion,xucked</t>
  </si>
  <si>
    <t>1989,total  philip,morris  huber,junk  contributions,grown  bristol,myers  funded,largely  500,corporations  50,000  pharmaceutical,chemical  review,published</t>
  </si>
  <si>
    <t>billion,humanity  delusional,reality  strategic,view  irreparable,effect  global,warming  reading,comments  humanity,expect  world,population  time,speaking  effect,time</t>
  </si>
  <si>
    <t>news,oil  source,oil  fake,news  listen,fake  oil,renewable  renewable,source</t>
  </si>
  <si>
    <t>choice,republic  substantive,choice  develop,substantive</t>
  </si>
  <si>
    <t>renewable,energy  mark,mills  abuse,carbon  life,earth  generations,desperate  inherent,ly  economy,inflation  western,law  optimized,maximize  capital,owner</t>
  </si>
  <si>
    <t>ideology,period  sliver,marginal  green,ideology  governments,impose  answer,wasting  tiniest,sliver  wasting,time  time,money  emissions,responsible  marginal,difference</t>
  </si>
  <si>
    <t>god,raised  world,pray  horrific,god  payment,sins  jesus,flesh  begotten,whosoever  lord,open  perish,everlasting  god,loved  16,god</t>
  </si>
  <si>
    <t>eat,cost  dictates,survival  survival,outweigh  human,worker  cost,human  robots,eat  capitalist,methodology  person,capitalist  eyes,shareholders  true,unemployed</t>
  </si>
  <si>
    <t>assume,future  thinks,behaves  behaves,calculated  cars,scratch  generation,thinks  generations,think  comparing,production  think,generation  production,cars  scratch,assume</t>
  </si>
  <si>
    <t>work,schools  schools,sober  fossil,fuels  knowledge,levels  world,materials  renewable,energy  levels,policy  discussions,fossil  sober,discussions  makers,activists</t>
  </si>
  <si>
    <t>opening,presentation  extraordinary,eye  presentation,level  level,expert  eye,opening  absolutely,extraordinary  expert,field</t>
  </si>
  <si>
    <t>energy,transition  droughts,wild  transition,happen  change,costs  solution,climate  wild,fires  happen,offering  agree,energy  climate,change  offering,solution</t>
  </si>
  <si>
    <t>scientist,named  named,taylor  world,absolute  5hl1bec024g,5hl1bec024g  beats,heard  absolute,solution  14,scientist  invention,14  solution,beats  wilson,5hl1bec024g</t>
  </si>
  <si>
    <t>like,grown  fora,won  plethora,recyclable  agenda,media  leaving,arena  students,universities  cool,start  pinatubo,major  academic,systems  tape,cost</t>
  </si>
  <si>
    <t>listen,kind  based,policy  corporate,funded  co2,good  people,weary  york,based  conservative,corporate  smoking,healthy  policy,research  institute,policy</t>
  </si>
  <si>
    <t>towns,bicycles  transition,fusion  transport,people  electric,mass  mass,transport  nuclear,tech  eventual,scaling  tiny,towns  options,future  fusion,eventual</t>
  </si>
  <si>
    <t>manhattan,institute  received,75  city,based  specious,case  institute,specious  renewables,manhattan  based,think  exxonmobil,center  compromised,decider  000,exxonmobil</t>
  </si>
  <si>
    <t>reported,12  state,world  solar,reported  chart,indicate  wind,solar  12,eia  world,chart  indicate,wind</t>
  </si>
  <si>
    <t>far,mark  energy,transition  humankind,wise  mark,mills  transition,far  humankind,hell  wise,humankind  mills,humankind</t>
  </si>
  <si>
    <t>funding,coming</t>
  </si>
  <si>
    <t>depend,metal  26m30s,26  talk,argument  think,happen  30,sgoegkdvvsg  nice,talk  sgoegkdvvsg,26m38s  argument,depend  sgoegkdvvsg,26m30s  coming,think</t>
  </si>
  <si>
    <t>worth,watching  green,peace  co,founders  founders,green  sheep,following  moore,released  climate,change  decide,being  warming,gigantic  watching,decide</t>
  </si>
  <si>
    <t>mining,capex  19m52s,19  actual,vs  capex,actual  52,mining  19,52  sgoegkdvvsg,19m52s</t>
  </si>
  <si>
    <t>efficient,reliable  energy,inefficient  transition,efficient  inefficient,unreliable  reliable,energy  unreliable,energy</t>
  </si>
  <si>
    <t>climate,change  change,attached  change,tube  absurd,definition  definition,climate  links,climate  attached,links</t>
  </si>
  <si>
    <t>congo,evs  fossil,fuels  metals,mined  mined,slaves  coal,fossil  evs,grid  fuels,toxic  evs,sense  slaves,congo  grid,coal</t>
  </si>
  <si>
    <t>clue,talking  50,switch  guy,clue  ice,vehicle  vehicle,truth  11,50  load,tosh  switch,believe  truth,complete  information,11</t>
  </si>
  <si>
    <t>technological,advances  future,right  predict,future  factoring,technological  battery,chemistries  right,battery  trying,predict  short,sighted  advances,short  sighted,vision</t>
  </si>
  <si>
    <t>wind,solar  nat,gas  gas,down  energy,expert  8000,cycles  million,miles  lfp,batteries  tesla,catl  mallarky,wind  12,expected</t>
  </si>
  <si>
    <t>humans,consume  efficiency,oppositional  physics,terms  consume,far  terms,humans  efficiency,physics  energy,past  far,energy  oppositional,efficiency  economic,efficiency</t>
  </si>
  <si>
    <t>v2nhsspw77i,1s  1s,v2nhsspw77i</t>
  </si>
  <si>
    <t>hurricanes,drought  food,producing  fossil,fueled  current,fossil  time,bomb  producing,land  thinking,solutions  increasing,wind  fertile,food  fueled,economies</t>
  </si>
  <si>
    <t>battery,raw  continue,like  head,battery  copper,prices  oversupplied,continue  raw,materials  cru,lithium  material,prices  price,fall  like,copper</t>
  </si>
  <si>
    <t>energy,density  aluminum,graphene  transition,happen  gmg,graphene  like,gmg  increases,energy  companies,like  check,companies  uniformed,check  graphene,59</t>
  </si>
  <si>
    <t>ice,materials  total,material  ice,subtracting  replaced,total  materials,replaced  costs,bad  replacing,ice  material,amounts  subtracting,ice  amounts,costs</t>
  </si>
  <si>
    <t>stop,mining  green,thinking  intensive,mining  mining,call  carbon,intensive  humans,stop  thinking,humans  call,green</t>
  </si>
  <si>
    <t>inconvenient,truths</t>
  </si>
  <si>
    <t>plan,solve  course,petroleum  pollution,petroleum  share,petroleum  enticement,market  globally,worse  existential,crisis  crisis,petroleum  renewables,surged  petroleum,industry</t>
  </si>
  <si>
    <t>verbosity,promoting  essentially,right  digressions,unbearable  right,verbosity  promoting,digressions</t>
  </si>
  <si>
    <t>lithium,africa  forgotten,country  stores,lithium  africa,forgotten  huge,stores  heard,huge</t>
  </si>
  <si>
    <t>production,balanced  massive,subsidies  mention,massive  fuel,production  subsidies,fossil  balanced,presentation  curious,mention  fossil,fuel</t>
  </si>
  <si>
    <t>great,work</t>
  </si>
  <si>
    <t>speed,development  tbms,speed</t>
  </si>
  <si>
    <t>nonsense,total  liars,fools  academic,climate  carbon,hydrogen  responsible,people  government,cronies  world,covered  total,fraud  fascist,partnerships  steady,evolution</t>
  </si>
  <si>
    <t>global,population  miami,south  peak,2100  issue,solve  hydrocarbons,right  right,party  hit,2100  population,5b  party,wayne  alot,hydrocarbons</t>
  </si>
  <si>
    <t>power,friends  decided,solve  power,obey  puppies,world  concentrate,power  people,issue  world,puppy  world,decided  solve,bidding  sad,puppies</t>
  </si>
  <si>
    <t>replaced,board  kind,ironic  ironic,apple  apple,replaced  board,chevron</t>
  </si>
  <si>
    <t>stopped,watching  game,changer  watching,game  changer,sigh</t>
  </si>
  <si>
    <t>lying,stupid  stupid,bbc  tells,lying</t>
  </si>
  <si>
    <t>spaces,trees  stupid,world  world,bottled  cooking,lot  green,spaces  co2,garden  gas,billions  trees,reforestation  lot,heating  death,worried</t>
  </si>
  <si>
    <t>india,frankly  zero,cooperation  frankly,deluded  cooperation,china  polution,approaching  approaching,zero  thinks,reduce  china,india  reduce,polution</t>
  </si>
  <si>
    <t>mega,rich  rich,entire  universe,powered  profits,control  powered,renewable  entire,universe  renewable,energy  control,mega</t>
  </si>
  <si>
    <t>shine,problem  gilt,happy  bbc,promote  batteries,hand  sand,batteries  travel,lol  feel,shame  shame,gilt  afford,travel  tech,asap</t>
  </si>
  <si>
    <t>profit,transiting  shameless,greedy  earth,die  demand,profit  murderer,humanity  die,demand  energy,shameless  life,murderer  transiting,green  green,energy</t>
  </si>
  <si>
    <t>mirror,concentrators  chilly,gloomy  concentrators,cost  cost,effective  effective,solar  gloomy,global  solar,panels  global,warming</t>
  </si>
  <si>
    <t>2023,notion  limit,temp  temp,delusional  degrees,warmer  warmer,2023  notion,limit</t>
  </si>
  <si>
    <t>mw,m2  cloud,formation  cirrus,cloud  grams,co2  radiative,forcing  distance,flights  real,solution  co2,emissions  global,aviation  hydrogen,planes</t>
  </si>
  <si>
    <t>10,time  fossil,fuels  tony,seba  meaning,10  solar,wind  ditching,fossil  worth,read  time,fossil  arbib,founders  assets,worth</t>
  </si>
  <si>
    <t>landfill,issues  works,well  type,baseload  pushing,thing  well,wrong  feed,power  instant,reliable  green,right  landfill,part  power,bank</t>
  </si>
  <si>
    <t>100,renewable  lot,climate  car,mentioned  avoiding,addressing  30,emissions  15,common  city,heating  communities,bypassing  walkable,15  electricity,grid</t>
  </si>
  <si>
    <t>company,set  plug,tubing  bucks,month  manufacturing,shop  well,plug  pump,backside  vertical,wells  shop,guys  set,plug  heating,shops</t>
  </si>
  <si>
    <t>climate,change  swb,climate  transition,bio  change,renewable  100,emission  emission,proper  bad,stuff  group,called  sources,energy  renewable,sounded</t>
  </si>
  <si>
    <t>keep,rising  co2,ppm  like,changed  rising,rise  slower,keep  poor,nations  invented,combustion  zero,reality  changed,mankind  combustion,engine</t>
  </si>
  <si>
    <t>people,worried  ve,promises  kept,doomers  lulled,continuing  worried,lulled  starting,people  won,kept  doomers,starting  promises,won  business,usual</t>
  </si>
  <si>
    <t>renewable,energy  energy,storage  renewable,capacity  energy,generating  green,hydrogen  blocking,high  fossil,fuels  weeks,time  pressure,system  companies,control</t>
  </si>
  <si>
    <t>pass,increase  tidal,power  power,solar  world,tidal  solar,coal  increase,world</t>
  </si>
  <si>
    <t>ghgs,30  ghe,heat  kinetic,heat  lot,kinetic  render,bb  atmos,ghgs  ghe,cagw  bb,impossible  earth,cooler  molecules,render</t>
  </si>
  <si>
    <t>facts,airlines  positive,matter  bbc,job  radio,positive  transport,train  public,transport  short,flights  planes,trips  investment,public  long,banned</t>
  </si>
  <si>
    <t>20,000  planets,tilt  tilt,wobble  starting,20  geology,earth  wobble,changed  sahara,green  rain,human  changed,dried  planet,experiencing</t>
  </si>
  <si>
    <t>transported,fossil  fossil,fuels  doubt,solar  fuels,green  mined,built  solar,panels  morocco,mined  built,transported  panels,morocco</t>
  </si>
  <si>
    <t>carbon,neutral</t>
  </si>
  <si>
    <t>spam,troll  troll,hellscape</t>
  </si>
  <si>
    <t>claiming,pioneer  hydro,electricity  club,claiming  vermont,joining  rely,hydro  brazil,paraguay  parts,brazil  decades,congrats  huge,parts  paraguay,rely</t>
  </si>
  <si>
    <t>news,subscribed  wow,methano  canceling,great  battery,amazing  sand,battery  good,working  renewable,sources  subscribed,newsletter  methano,gas  well,hugs</t>
  </si>
  <si>
    <t>save,planet</t>
  </si>
  <si>
    <t>beeb,apparent  roll,story  care,topics  reporting,good  pay,attention  style,uselessly  bunch,roll  cobbled,bunch  topics,understands  understands,kind</t>
  </si>
  <si>
    <t>worthy,news</t>
  </si>
  <si>
    <t>code,green  sas,code</t>
  </si>
  <si>
    <t>climate,change  loss,pollution  solar,energy  finance,land  solution,finance  pollution,ev  ev,charging  land,requirements  change,clean  unemployment,benefits</t>
  </si>
  <si>
    <t>solar,energy  abandoned,oil  wind,solar  supply,2022  renewable,energy  electricity,supply  oil,gas  gas,wells  energy,12  global,electricity</t>
  </si>
  <si>
    <t>cop28,pivotal  events,affecting  highs,extreme  conference,cop28  climate,treaty  correct,course  course,action  treaty,concluded  world,stock  concluded,2015</t>
  </si>
  <si>
    <t>reduce,population  simple,life  joke,planet  pollution,live  times,thing  extremely,reduce  end,capitalism  totally,pollution  capitalism,shift  solution,pollute</t>
  </si>
  <si>
    <t>solar,wind  farm,tractors  tractors,solar  wind,power</t>
  </si>
  <si>
    <t>refreshing,change  great,managed  positive,refreshing  stuff,great  managed,positive  change,sphere</t>
  </si>
  <si>
    <t>puff,peace  peace,journalism  wow,puff</t>
  </si>
  <si>
    <t>reduce,storage  akin,selling  cheaper,conventional  nation,wide  cheapest,house  house,market  bit,truth  disclose,roof  market,failing  conventional,alternatives</t>
  </si>
  <si>
    <t>richards,silly  past,richards  torquay,madam  land,sky  reduction,basil  herds,wildebeest  view,basil  babylon,herds  richards,satisfied  good,basil</t>
  </si>
  <si>
    <t>wells,socialized  clean,privatized  orphan,wells  profits,hurray  socialized,clean  privatized,profits</t>
  </si>
  <si>
    <t>biased,documentary  factual,biased  23m43s,23  martyn,glvkwpnzba8  programme,martyn  glvkwpnzba8,23m43s  bbc,programme  23,43  documentary,bbc</t>
  </si>
  <si>
    <t>ev,batteries  staying,power  followers,jetting  solution,lies  reversing,population  simply,support  life,staying  planet,simply  renewables,solar  lies,reversing</t>
  </si>
  <si>
    <t>big,emitter  coming,burning  zero,carbon  far,zero  burlington,100  fact,big  fact,electricity  electricity,coming  energy,far  100,renewable</t>
  </si>
  <si>
    <t>fossil,fuel  fuel,wasting  manufacture,reusable  cuts,proven  power,fossil  fuel,burning  reusable,equipment  guarantee,power  pollution,guarantee  uk,manufacture</t>
  </si>
  <si>
    <t>wind,solar  americas,concentrated  concentrated,solar  companies,disappeared  fake,renewable  pick,solar  articles,read  climate,change  read,americas  environmental,damage</t>
  </si>
  <si>
    <t>stop,flying  flying,zoom  zoom,train</t>
  </si>
  <si>
    <t>raw,materials  materials,renewables</t>
  </si>
  <si>
    <t>condition,check  renewable,energy  extended,outdoor  technology,ensures  adventures,waterproof  waterproof,technology  cube,series  great,renewable  fast,recharging  massive,capacity</t>
  </si>
  <si>
    <t>stop,swallowing  research,heat  inefficient,greenhouse  emergency,co2  media,feeds  heat,forcing  warming,planet  causing,warming  swallowing,media  climate,emergency</t>
  </si>
  <si>
    <t>glvkwpnzba8,3m20s  3m19s,19  law,glvkwpnzba8  20,oil  thousands,law  glvkwpnzba8,3m19s  19,glvkwpnzba8  3m20s,20  oil,companies  companies,deal</t>
  </si>
  <si>
    <t>delta,greenwashing  greenwashing,airline</t>
  </si>
  <si>
    <t>methane,set  farted,methane  set,world  dinosaurs,farted  millions,dinosaurs  world,fire</t>
  </si>
  <si>
    <t>conferences,decades  greenwash,programme  safer,fossil  fossil,fuels  floods,kills  online,conferences  fly,destroying  doubt,renewables  uproots,killing  crops,starvation</t>
  </si>
  <si>
    <t>industry,based  nice,greenwash  based,profit  aviation,industry  industry,fly  greenwash,aviation  reduce,footprint  profit,air  fly,industry  transport,consume</t>
  </si>
  <si>
    <t>melissa,fleming  secretary,global  search,google  climate,science  fleming,speaking  wef,event  climate,change  speaking,wef  global,communications  2022,secretary</t>
  </si>
  <si>
    <t>beef,industries  mention,greatest  greatest,emitors  emitors,far  metane,emission  industries,mention  emission,dairy  dairy,beef</t>
  </si>
  <si>
    <t>upstate,north  city,york  state,york  related,title  upstate,york  title,oops  upstate,mountains  nonsense,title  title,simply  sting,nonsense</t>
  </si>
  <si>
    <t>gas,wells  oil,gas  great,job  sealing,oil  job,sealing</t>
  </si>
  <si>
    <t>power,energy  energy,transition  generates,amount  transition,cost  challenge,people  change,absurdly  bonus,wind  problem,company  accept,change  opposed,change</t>
  </si>
  <si>
    <t>time,regeneratives  inputs,time  course,matter  accelerate,sustainables  heavy,energy  primary,inputs  build,primary  available,right  sustainables,global  economy,build</t>
  </si>
  <si>
    <t>world,rely  energy,lot  tech,real  wiser,world  cool,tech  real,scaleable  renewable,energy  lot,cool  rely,renewable</t>
  </si>
  <si>
    <t>camping,trips  renewable,energy  check,reliable  enthusiasts,like  energy,highly  protections,check  cube,series  great,renewable  backup,home  fast,recharging</t>
  </si>
  <si>
    <t>bbc,american  american,overnight</t>
  </si>
  <si>
    <t>excellent,review</t>
  </si>
  <si>
    <t>being,required  future,human  required,pay  fart,tax  live,stock  tax,pets  pets,live  human,being  pay,fart</t>
  </si>
  <si>
    <t>large,igneous  exploration,lithosphere  sedimentary,basins  hydrogen,exploration  provinces,hydrogen  white,hydrogen  basins,sedimentary  sedimentary,large  lithosphere,sedimentary  geologic,white</t>
  </si>
  <si>
    <t>end,billion  sun,end  renewable,energy  billion,dig  technically,energy  coming,sun  energy,access  energy,technically  dig,star  access,coming</t>
  </si>
  <si>
    <t>human,caused  80,mph  betweenhuman,caused  speed,linit  channels,city  indication,natural  caused,absolutely  gravity,sunlight  city,change  change,good</t>
  </si>
  <si>
    <t>igwy1,waft0  0pseygwgdgo,23s  maa0,ulhemy  まなびば,参政党  s1mujlahof4,まなびば  文化人放送局2,今週のド左翼ニュース  辞任会見,kb3bgjvmrse  kehrzmsiwsw,ささやん  後半議員演説,vvaoij6wxj0  戦後ghq法改正で中韓人等在日勢の国家乗っ取り危機helpjapan,6qtdm6vqsvo</t>
  </si>
  <si>
    <t>better,electric  motors,best  best,good  better,better  battery,better  mother,earth  electric,motors  good,mother</t>
  </si>
  <si>
    <t>standing,charge  countries,natural  socially,economically  kwh,standing  paying,bloody  12p,kwh  badly,socially  kwh,35  energy,fossil  fuels,perspective</t>
  </si>
  <si>
    <t>co2,intensive  intensive,solution  forrest,regen  intensive,trucking  biomass,burning  deprives,forrest  solution,plugging  trucking,priduct  vital,biomass  woodchip,deprives</t>
  </si>
  <si>
    <t>energy,whahahahaha  renewable,energy</t>
  </si>
  <si>
    <t>व,क  sir,ji  थ,व  save,earth  क,बच  ji,mam  पय,प  प,थ  mam,save  earth,क</t>
  </si>
  <si>
    <t>ghg,emissions  emissions,global  global,temperature  renewable,energy  large,sequester  takes,decades  told,impossible  global,demand  tree,large  dodging,direct</t>
  </si>
  <si>
    <t>bla,bla  woke,gay  bla,woke  troubling,delusional  guys,troubling  gay,guys</t>
  </si>
  <si>
    <t>beneficial,climate  electric,beneficial  renewable,electric</t>
  </si>
  <si>
    <t>population,decrease  expected,world  consume,expected  world,population</t>
  </si>
  <si>
    <t>fossil,fuels  fuels,lame  lame,garbage</t>
  </si>
  <si>
    <t>listen,bjorn  propaganda,listen  disappointing,piece  bjorn,lomborg  piece,propaganda</t>
  </si>
  <si>
    <t>fossil,fuels  consumption,growing  renewables,combined  subsidies,regulations  energy,revolution  africa,short  significant,subsidies  dependent,keeping  keeping,developed  enabled,unprecedented</t>
  </si>
  <si>
    <t>protest,post  post,approval  join,protest  approval,iphone  sipping,coffee  coffee,starbucks  iphone,sipping</t>
  </si>
  <si>
    <t>pushing,anti  peace,pushing  anti,nuclear  remember,green  green,peace  nuclear,propaganda</t>
  </si>
  <si>
    <t>spent,driving  nuclear,power  power,expensive  future,cars  oil,check  materials,bev  crying,ice  bev,mass  lithium,ignoring  producing,electricity</t>
  </si>
  <si>
    <t>money,talks  sheep,solar  cattle,sheep  green,money  wind,turbines  land,green  value,land  turbines,add  solar,panels  add,value</t>
  </si>
  <si>
    <t>mad,children  problem,brainwashed  children,problem</t>
  </si>
  <si>
    <t>truth,green  windmills,destructive  cars,solar  green,industry  environment,told  solar,windmills  told,truth  destructive,environment  electric,cars</t>
  </si>
  <si>
    <t>act,government  biden,claim  nameless,corporations  reduction,act  inflation,reduction  claim,inflation  support,biden  government,nameless</t>
  </si>
  <si>
    <t>green,energy  infrastructure,mention  globalist,controligarchs  spent,green  blight,planet  mention,environmental  lining,pockets  money,spent  waste,money  pockets,globalist</t>
  </si>
  <si>
    <t>power,plants  confident,closed  plants,deindustrializing  closed,co2  retreated,lignite  co2,nuclear  deindustrializing,entered  rescession,retreated  nuclear,power  coal,failed</t>
  </si>
  <si>
    <t>energy,mix  adding,nuclear  cut,atmospheric  atmospheric,emissions  emissions,sense  nuclear,energy  mix,cut</t>
  </si>
  <si>
    <t>power,plants  fossil,fuels  nuclear,power  armature,magnets  generation,power  magnets,armature  power,generation  copper,wire  grossly,misinformed  coils,copper</t>
  </si>
  <si>
    <t>oxigen,appeared  forbidden,knowledge  green,revolution  evaluate,green  appeared,earth  nofing,green  revolution,propaganda  zero,people  knowledge,forbidden  propaganda,marketing</t>
  </si>
  <si>
    <t>green,naive  gullible,immature  naive,gullible</t>
  </si>
  <si>
    <t>compared,climate  reach,goal  right,born  climate,changing  climate,fact  alarmism,real  problem,people  nature,reach  expectations,emissions  people,temper</t>
  </si>
  <si>
    <t>biggest,scam  scam,pulled  pulled,humanity</t>
  </si>
  <si>
    <t>fossil,fuels  renewables,matters  matters,fossil  matter,renewables</t>
  </si>
  <si>
    <t>production,asia  asia,expensive  moving,production  examples,facts  normal,price  germany,moving  words,blocking  recession,examples  materials,hungary  mention,purely</t>
  </si>
  <si>
    <t>neodynium,etc  fossil,fuels  renewables,form  costs,lithium  scale,takes  andis,controlledby  mined,fossil  elements,mined  silver,neodynium  cobalt,chromium</t>
  </si>
  <si>
    <t>available,crust  life,theorized  volcanic,vents  started,deep  water,volcanic  safe,fission  energy,building  chemical,ingredients  store,energy  reactions,chance</t>
  </si>
  <si>
    <t>south,america  wind,energy  renewable,energy  clean,renewable  trump,presidency  extracting,oil  energy,unmitigated  coal,chopping  america,chopping  coal,clean</t>
  </si>
  <si>
    <t>sunny,windy  fossil,fuels  green,solution  wind,sunny  issue,battery  electricity,sources  deliver,electricity  green,process  heavily,incorporating  sources,production</t>
  </si>
  <si>
    <t>wind,mills  zero,renewable  renewable,energy  part,co2  spent,lunacy  green,energy  add,salt  mills,solar  like,flies  salt,wound</t>
  </si>
  <si>
    <t>nuclear,facility  political,climate  war,flee  supply,power  perfectly,safe  safe,bottle  miles,land  operationally,modern  power,render  broken,evil</t>
  </si>
  <si>
    <t>rare,earth  higher,socio  economic,benefits  space,rare  resources,space  transport,electrified  projects,require  benefits,efficient  minerals,long  earth,minerals</t>
  </si>
  <si>
    <t>throat,20min  annoying,elitist  narratives,crammed  owned,msm  bruh,billionaire  crammed,down  billionaire,owned  msm,annoying  elitist,narratives  down,throat</t>
  </si>
  <si>
    <t>cheap,cheaper  renewable,super  coal,fired  china,strange  fired,power  cheaper,charge  power,stations  combined,building  choice,china  gas,eng</t>
  </si>
  <si>
    <t>growing,infinity  think,logic  wind,mills  human,model  understand,consfused  model,growing  batteries,well  infinity,wind  well,think  mills,batteries</t>
  </si>
  <si>
    <t>hypocritical,form  traffic,far  support,people  ll,support  far,hypocritical  form,protest  people,block  block,traffic</t>
  </si>
  <si>
    <t>public,collective  collective,transport</t>
  </si>
  <si>
    <t>power,plants  source,uranium  uranium,nuclear  nuclear,power  glad,uk  method,finally  plants,delighted  finally,essex  disposal,method  independent,source</t>
  </si>
  <si>
    <t>activists,wake  previous,activists  life,lie  wake,wasted  dollars,completely  tax,dollars  like,previous  money,tax  ridiculous,amounts  completely,unnecessary</t>
  </si>
  <si>
    <t>incompetence,hysteria  complete,incompetence</t>
  </si>
  <si>
    <t>great,oil  countries,worked  worked,great  energy,dependant  yeah,energy  dependant,foreign  foreign,countries</t>
  </si>
  <si>
    <t>change,irrational  nuclear,afraid  fear,nuclear  powered,airplanes  happy,airbus  developing,hydrogen  embrace,nuclear  climate,change  nuclear,industry  strength,modular</t>
  </si>
  <si>
    <t>iin,2040  car,sale  sale,iin  99,2035  curve,straight  2035,earlier  straight,line  electric,car  earlier,curve  comical,75</t>
  </si>
  <si>
    <t>farms,destroying  land,green  destroying,beautiful  arable,land  beautiful,arable  solar,farms</t>
  </si>
  <si>
    <t>propaganda,people  people,knowledge  eco,propaganda  knowledge,intelligence</t>
  </si>
  <si>
    <t>activists,willing  hypothetical,people  change,real  morally,dubious  world,save  poor,people  act,arrogance  willing,sacrifice  climate,change  real,act</t>
  </si>
  <si>
    <t>43,reason  emotions,short  real,culprits  termism,real  37,germany  germany,energy  reason,coal  5m37s,37  energy,infrastructure  short,termism</t>
  </si>
  <si>
    <t>stone,age  age,time  raise,hands  wars,telling  labs,wars  future,lol  high,tech  countries,rubbishes  imagination,people  history,stone</t>
  </si>
  <si>
    <t>being,push  paris,commitment  completed,targets  targets,being  commitment,completed  india,paris</t>
  </si>
  <si>
    <t>hurdle,green  biggest,hurdle  green,nuclear</t>
  </si>
  <si>
    <t>tink,tink  chop,chop  moved,inescapable  hear,chop  relative,comforted  part,generation  handy,ship  reality,rings  catalytic,converters  disrupt,solutions</t>
  </si>
  <si>
    <t>migrants,sea  thing,green  increase,crops  melting,species  hurricanes,tornadoes  heatwaves,floods  green,energy  climate,migrants  co2,climate  levels,polar</t>
  </si>
  <si>
    <t>level,consumption  well,impossible  worrying,well  switch,renewables  people,understand  think,people  impossible,switch  maintaining,level  renewables,maintaining  consumption,think</t>
  </si>
  <si>
    <t>people,hopelessly  power,amazing  clean,energy  decades,nuclear  nuclear,power  ve,clean  hopelessly,misinformed  energy,decades  amazing,people</t>
  </si>
  <si>
    <t>rivers,call  part,environment  clean,energies  honest,call  reduce,green  call,green  protected,lithium  underwater,rivers  house,emissions  contaminate,underwater</t>
  </si>
  <si>
    <t>absurd,political  utterly,absurd  situation,dramatic  serves,ordinary  people,pretense  political,system  pretense,democracy  dramatic,utterly  ordinary,people  system,nuts</t>
  </si>
  <si>
    <t>problem,batteries  bad,environment  environment,solved  batteries,bad  solved,fast</t>
  </si>
  <si>
    <t>ask,congress  budget,fund  fund,war  investing,green  war,ukraine  dollars,budget  freedom,gt  billions,dollars  gt,climate  ukraine,investing</t>
  </si>
  <si>
    <t>poor,quality</t>
  </si>
  <si>
    <t>asked,war  natural,well  waste,energy  human,natural  resources,human  energy,resources  war,waste</t>
  </si>
  <si>
    <t>disagree,build  car,building  public,transport  simpler,metals  transport,cars  panels,wind  build,build  cars,lithium  build,solar  wind,turbines</t>
  </si>
  <si>
    <t>black,white  green,black  quality,assurance  white,yallow  red,blue  blue,green  great,gifi  assurance,great</t>
  </si>
  <si>
    <t>nuclear,fusion  breakthroughs,nuclear  fossil,fuels  hoped,promising  production,west  remains,hoped  knell,fossil  scale,sound  viable,large  being,remains</t>
  </si>
  <si>
    <t>like,money  generator,sound  wind,generator  money,texas  like,sounds  asked,wind  sounds,like  texas,voice  sound,like</t>
  </si>
  <si>
    <t>sourced,moment  fossil,fuels  moment,recharging  plants,etc  etc,talks  batteries,sustainably  natural,gas  gas,plants  powered,power  harnessing,power</t>
  </si>
  <si>
    <t>wars,economic  economic,military  reformatted,scientists  relations,countries  institution,power  engineers,like  like,current  long,outdated  countries,long  scientists,engineers</t>
  </si>
  <si>
    <t>economy,works  germany,disconnected  uneducated,economy  real,life  noticed,germany  disconnected,struggles  struggles,real  life,uneducated</t>
  </si>
  <si>
    <t>north,sea  plants,develope  plan,build  windparks,15  led,bigger  sea,being  bigger,coal  part,demonstrating  war,russia  talking,north</t>
  </si>
  <si>
    <t>won,solve  solve,issue  figure,won</t>
  </si>
  <si>
    <t>green,tech  information,subject  data,green  hear,lots  sequestration,co2  subject,hard  lots,subject  needle,prove  tree,trap  math,carbon</t>
  </si>
  <si>
    <t>taxes,products  higher,taxes  sense,protest  ready,play  products,sense  play,higher</t>
  </si>
  <si>
    <t>planet,angry  vote,blue  angry,children  angry,atmosphere  far,costly  grandchildren,breathe  america,green  green,vote  children,grandchildren  breathe,green</t>
  </si>
  <si>
    <t>power,plants  fossil,fuels  time,scientists  develop,infrastructure  produce,supply  fuels,replace  energy,fossil  prepare,effects  scientists,start  replace,power</t>
  </si>
  <si>
    <t>green,dream  electronics,fossil  lite,journalism  lacking,science  impression,hurry  title,green  voice,lacking  down,farmland  answer,question  building,heaps</t>
  </si>
  <si>
    <t>highly,appreciated  keep,updated  great,keep  updated,development  appreciated,efforts  development,highly</t>
  </si>
  <si>
    <t>energy,energy  energy,independence  green,energy  prices,accelerating  fossil,fuel  russia,opec  fuel,supplies  accelerating,global  global,adoption  foot,squeeze</t>
  </si>
  <si>
    <t>large,energy  sources,storage  storage,grid  grid,based  amazed,focus  based,fluctuating  energy,storage  fluctuating,sources  focus,large</t>
  </si>
  <si>
    <t>leaves,polution  sources,exploration  exploration,leaves  energy,sources  polution,compared  clean,energy  thing,clean  error,thing</t>
  </si>
  <si>
    <t>clean,energy  fossil,fuels  energy,revolution  investment,clean  06,world  keep,lights  cover,chapters  revolution,requires  energy,challenges  e39newnw9aa,15m47s</t>
  </si>
  <si>
    <t>love,maa  caar,driver  realy,caar</t>
  </si>
  <si>
    <t>green,energy  cars,built  scrappy,cars  mentioning,tesla  built,months  shame,mentioning  ev,transition  energy,ev  transition,leading  tesla,started</t>
  </si>
  <si>
    <t>flag,operation  like,activists  feel,like  false,flag  people,dislike  lobbying,group  attack,works  fossil,fuel  works,art  group,people</t>
  </si>
  <si>
    <t>heavier,started  clean,roll  fuel,consumption  100,houses  mad,stop  people,like  like,tesla  houses,bigger  maintain,clean  bills,100</t>
  </si>
  <si>
    <t>energy,revolution  green,capitalism  exploitation,paid  money,transitional  final,pronouncement  mobilisations,labour  green,genuinely  turbines,etc  causing,lots  capitalism,petro</t>
  </si>
  <si>
    <t>build,stuff  stuff,focus  focus,degrowth</t>
  </si>
  <si>
    <t>deep,hot  oil,fossil  gold,explained  fossil,fuels  natural,chemo  professor,thomas  chemo,thermal  hot,natural  thermal,reactors  book,deep</t>
  </si>
  <si>
    <t>power,plants  energy,services  connected,range  well,extensive  including,operation  maintenance,services  extensive,services  digital,energy  pv,power  services,well</t>
  </si>
  <si>
    <t>revisit,messmer  europe,olaf  time,revisit  lights,europe  messmer,plan  olaf,scholz  plan,lights  scholz,france</t>
  </si>
  <si>
    <t>kids,burn  burn,fuel  keep,fake  irony,eu  warm,fake  fake,people  people,kids  fake,agenda  reason,keep  oil,keeping</t>
  </si>
  <si>
    <t>mega,business  business,scam  green,mega</t>
  </si>
  <si>
    <t>solar,farm  climate,crisis  fossil,fuels  bigger,picture  americans,save  subject,earth  pole,shift  wef,elite  emissions,emit  farm,lasted</t>
  </si>
  <si>
    <t>emerging,markets  positive,climate  energy,transition  transition,emerging  key,achieving  climate,goals  markets,key  achieving,positive</t>
  </si>
  <si>
    <t>global,aim  buses,powered  solar,wind  aim,zero  nuclear,energy  concerned,dependence  shift,green  like,synthetic  powered,fossil  innovations,solar</t>
  </si>
  <si>
    <t>pervende,motor  successful,pervende  motor,best</t>
  </si>
  <si>
    <t>great,doomberg  sounds,great  doomberg,likes</t>
  </si>
  <si>
    <t>energy,suggesting  suggesting,technology  stop,calling  technology,people  people,preconceived  nuclear,energy  preconceived,ideas  calling,nuclear  suggestion,stop</t>
  </si>
  <si>
    <t>scalable,affordable  reliable,scalable  affordable,electricity  increase,demand  kneecapping,nuclear  nuclear,energy  demand,reliable  significantly,increase  ratchet,pressure  gov,ts</t>
  </si>
  <si>
    <t>constituencies,promote  developing,technology  grants,funding  construct,facilities  action,defense  congressional,support  cut,oil  congress,continue  support,colleges  promote,technology</t>
  </si>
  <si>
    <t>capabilities,help</t>
  </si>
  <si>
    <t>late,keep  form,power  life,better  research,production  sir,solicited  solicited,government  production,state  4m27s,reality  keep,good  energy,research</t>
  </si>
  <si>
    <t>singular,standard  1974,russia  china,kept  china,germany  issue,nuclear  understand,centric  highlight,multiple  kept,projecting  stupid,twist  address,question</t>
  </si>
  <si>
    <t>musk,board  elon,musk</t>
  </si>
  <si>
    <t>erik,townsend  time,erik</t>
  </si>
  <si>
    <t>htonuyyjnwg,htonuyyjnwg  nuclear,regulatory  promised,shutdown  vivek,ramaswamy  shutdown,nuclear  great,interest  interest,vivek  ramaswamy,promised  commission,htonuyyjnwg  regulatory,commission</t>
  </si>
  <si>
    <t>great,erik  hard,work  erik,hard  work,project</t>
  </si>
  <si>
    <t>nixon,ordered  research,destroyed  smr,research  ordered,smr  reference,nixon</t>
  </si>
  <si>
    <t>line,cut  fossil,fuels  restriting,building  house,building  stronger,nuclear  fuels,supporters  house,family  blewup,killing  simply,burried  coming,simply</t>
  </si>
  <si>
    <t>future,2001  money,power  fate,10  electricity,commercially  power,source  better,fate  nuclear,future  represented,20  military,profitable  source,won</t>
  </si>
  <si>
    <t>pressure,required  supercritical,co2  m3,pressure  supercritical,xenon  64,atmospheres  atmospheres,xenon  powerful,greenhouse  easy,acquire  304,1k  greenhouse,gas</t>
  </si>
  <si>
    <t>conclusion,usa  usa,oak  proved,smr  experience,proved  down,long  china,thorium  thorium,molten  1952,closed  viable,qed  long,conclusion</t>
  </si>
  <si>
    <t>tmsr,lf1  google,tmsr</t>
  </si>
  <si>
    <t>system,washington  black,kidding  trust,system  man,hey  democrat,ain  agencies,love  hey,jack  vote,democrat  washington,spy  ain,black</t>
  </si>
  <si>
    <t>produced,process  hydrogen,bombs  bombers,stopped  fuel,cycle  reactors,uranium  cycle,i8n  weapons,being  uranium,civilian  reactor,intended  plutonium,dismantled</t>
  </si>
  <si>
    <t>green,hydrogen  energy,absolutely  absolutely,source  source,energy  renewables,better  better,green  renewable,energy  rely,renewable</t>
  </si>
  <si>
    <t>cheaper,nuclear  wind,batteries  adopt,ideas  solar,wind  countries,transition  tony,seba  down,reference  cost,trends  renewable,require  better,transition</t>
  </si>
  <si>
    <t>climate,change  nuclear,power  nuclear,energy  fossil,fuels  energy,transition  try,think  concerned,climate  emissions,zero  think,like  environmentally,minded</t>
  </si>
  <si>
    <t>intermittent,renewables  indirect,land  co2,emissions  land,change  change,co2  renewables,available  energy,mix  co2,atmosphere  closed,fuel  inevitably,indirect</t>
  </si>
  <si>
    <t>instance,absolutely  luck,well  things,introduced  tech,things  experiences,ybf2fguo5cq  washing,buying  functions,washing  inefficient,shopping  irritating,inefficient  like,cost</t>
  </si>
  <si>
    <t>western,leaders  scale,western  fantastic,scale</t>
  </si>
  <si>
    <t>statements,view  rings,opinion  facts,position  opinion,fact  view,facts  support,statements  start,support  position,rings</t>
  </si>
  <si>
    <t>molten,salt  fixed,molten  think,investing  weinberg,inventor  reactors,idea  massively,reduced  salt,reactors  better,idea  idea,genius  reduced,create</t>
  </si>
  <si>
    <t>account,70  site,design  disaster,russian  build,cost  reactors,chernobyl  met,nuclear  dangerous,granite  dense,economical  2000,nuclear  budget,running</t>
  </si>
  <si>
    <t>transportable,storable  underestimate,inefficiencies  agree,hydrogen  energy,transportable  estimates,required  bacon,manhattan  electrify,time  project,moon  loads,farmers  engineers,history</t>
  </si>
  <si>
    <t>linking,schiller  schiller,institute  right,consider  sounds,right  consider,linking</t>
  </si>
  <si>
    <t>plant,scrap  renewables,continue  fossil,fuels  fuels,longer  slated,built  reactors,produced  build,solar  electricity,renewables  drop,expensive  compete,renewables</t>
  </si>
  <si>
    <t>power,plants  thermal,power  end,burning  burning,ffs  water,cooling  huge,amounts  being,built  amounts,water  cheaper,thermal  npp,being</t>
  </si>
  <si>
    <t>control,money  right,power  power,control</t>
  </si>
  <si>
    <t>90,left  like,90  limited,amount  current,consumption  consumption,rates  left,fuel  nuclear,fuel  amount,nuclear  fuel,current  fuel,like</t>
  </si>
  <si>
    <t>density,200  energy,density  times,cheaper  production,costs  renewables,questions  question,nuclear  10,times  better,renewables  cheaper,production  greener,renewables</t>
  </si>
  <si>
    <t>cycle,yard  thorium,fuel  solar,wind  prevented,installing  sailor,professional  stumble,vid  shared,twitter  26,solar  smr,thorium  nuke,sailor</t>
  </si>
  <si>
    <t>nuclear,renewables  build,nuclear  nuclear,great  great,build</t>
  </si>
  <si>
    <t>aggi,greenhousing  lt,industry  steam,gain  mwh,superconducts  wasteheat,watt  amortized,65  65,mwh  substations,offgrid  flip,substations  farms,lt</t>
  </si>
  <si>
    <t>gta,residents  residents,develop  develop,cancers  pickering,nuclear  tens,thousands  thousands,gta  perpetuity,fukushima  fukushima,scale  cancers,cover  accident,happened</t>
  </si>
  <si>
    <t>leading,smr  poland,leading</t>
  </si>
  <si>
    <t>heck,friend  burn,heck</t>
  </si>
  <si>
    <t>economy,scale  increases,volume  geometry,doubling  increases,surface  20,call  scale,suppose  bigger,cost  unit,down  10,20  factor,increases</t>
  </si>
  <si>
    <t>smrs,thorium  best,long  long,smrs  great,best</t>
  </si>
  <si>
    <t>feasible,alternative  hazards,nuclear  fission,research  nuclear,feasible  60,70  world,increasingly  increasingly,hungry  hungry,energy  government,public  research,fusion</t>
  </si>
  <si>
    <t>nuclear,waste  nuclear,vs  significant,step  problem,dispose  requires,special  operational,issues  refueled,26  safety,operational  contaminated,materials  decommissioned,replaced</t>
  </si>
  <si>
    <t>parts,share  brilliant,parts</t>
  </si>
  <si>
    <t>reactor,sky  biggest,nuclear  sky,quote  nuclear,reactor  quote,elon  elon,musk</t>
  </si>
  <si>
    <t>root,problem  sound,relying  solar,battery  ev,greed  problem,solar  fuel,energy  energy,dependence  energy,root  enticing,sound  greed,fossil</t>
  </si>
  <si>
    <t>fumble,called  fission,begun  fossil,fuels  replacing,nrc  innovations,china  lftr,thorium  winning,fact  verge,bankruptcy  joint,canadian  lt,uranium</t>
  </si>
  <si>
    <t>fanboy,lol  acronyms,smr  reactor,steven  steven,mark  confused,acronyms  mark,ryan  tesla,fanboy  smr,nuclear  nuclear,reactor  ryan,tesla</t>
  </si>
  <si>
    <t>nixon,decision  california,snr  national,political  american,national  destruction,ruled  malfeasance,tipped  thorium,nixon  decision,obvious  progress,nuclear  work,energy</t>
  </si>
  <si>
    <t>solar,cells  members,space  steel,virtually  china,coal  copan,hagan  china,pretty  reduction,life  100,times  versus,steel  data,fact</t>
  </si>
  <si>
    <t>renewables,solution  believe,renewables  easier,control  poor,easier  people,prosper  unfortunately,west  great,support  smr,believe  west,people  solution,unfortunately</t>
  </si>
  <si>
    <t>nauseam,china  reactor,running  govt,efficient  bed,technology  smrs,being  commercial,grid  plans,largest  ship,powered  grid,4th  high,temp</t>
  </si>
  <si>
    <t>radioactive,waste  cost,kw  solar,energy  waste,255000  kw,cost  nukes,finally  highly,radioactive  worth,produce  fission,worth  energy,cheaper</t>
  </si>
  <si>
    <t>reasons,pressing  good,explaining  achieve,range  reason,china  pressing,reason  left,west  range,military  reality,future  lead,left  nuclear,energy</t>
  </si>
  <si>
    <t>government,nolonger  nuscale,news  gov,liars  news,public  sold,guilt  lying,bs  gov,lives  china,well  interest,government  yrs,world</t>
  </si>
  <si>
    <t>personal,finance  hs,personal  finance,class  macro,hs  class,list</t>
  </si>
  <si>
    <t>disclosures,proposing  erik,disclosures  proposing,solution  appreciating,erik</t>
  </si>
  <si>
    <t>smrs,couple  available,far  everyday,extremely  viable,large  existing,grid  equipment,onsite  faults,system  units,base  down,event  emergency,equipment</t>
  </si>
  <si>
    <t>love,pardon  750,dollar  pardon,english  dollar,megawatt  megawatt,kilowatt  kilowatt,love</t>
  </si>
  <si>
    <t>molten,salt  salt,reactors  spent,fuel  million,tons  reactivity,decreases  reactor,msr  fissile,uranium  salt,reactor  light,water  reactivity,coefficient</t>
  </si>
  <si>
    <t>good,direction  energy,high  high,capacitors  energy,energy  called,green  direction,called  green,energy</t>
  </si>
  <si>
    <t>try,schedule  erik,awesome  thx,erik  meeting,biden  awesome,try  schedule,meeting  biden,admin</t>
  </si>
  <si>
    <t>energy,poverty  lftrs,end  core,message  ignores,reasons  climate,crisis  poverty,nuclear  nuclear,waste  current,administration  program,etc  libertarians,well</t>
  </si>
  <si>
    <t>relate,human  understand,laws  laws,physics  physics,relate  human,energy  energy,consumption</t>
  </si>
  <si>
    <t>dressers,fentenyl  virtue,signalling  world,virtue  haired,cross  beautiful,works  cross,dressers  signalling,created  works,art  fentenyl,od  ancient,world</t>
  </si>
  <si>
    <t>subscribed,knowledge  informative,subscribed</t>
  </si>
  <si>
    <t>nonsense,liar</t>
  </si>
  <si>
    <t>nuclear,dubai  central,america  meter,industrial  salvador,nuclear  temp,process  focus,meter  dubai,central  work,salvador  process,heat  industrial,high</t>
  </si>
  <si>
    <t>repetitive,parts  bit,repetitive  parts,intended  great,bit</t>
  </si>
  <si>
    <t>oil,trump  generation,oil  part,problem  maga,republicans  status,quo  people,like  cut,revenue  revenue,generation  trump,bush  koke,brothers</t>
  </si>
  <si>
    <t>mittlerweile,ruanda  deutsches,startup  ruanda,die  fluid,reactor  gibt,viele  konzepte,deutsches  sowas,schafft  reactor,mittlerweile  dual,fluid  ruanda,sowas</t>
  </si>
  <si>
    <t>solar,wind  scale,power  power,generation  gas,oil  live,better  fact,roughly  power,gasoline  hydro,shared  power,grid  2050,comprise</t>
  </si>
  <si>
    <t>fossil,fuel  show,renewables  anecdotally,house  northern,europe  solar,batteries  production,chart  fuel,high  ineffectually,thorium  majority,electricity  excluding,contribution</t>
  </si>
  <si>
    <t>goals,met  west,china  cost,overruns  wind,projects  part,supply  add,fees  build,cough  coal,cementing  met,ev  life,efficiency</t>
  </si>
  <si>
    <t>china,economy  right,china  10m11s,10  predicted,right  tank,espesialy  fdmivna6az0,10m11s  think,graph  espesialy,population  11,think  built,sand</t>
  </si>
  <si>
    <t>oil,gas  stop,oil  clothing,wear  realise,stop  governments,help  block,streets  lorries,airplanes  costs,transportation  heatpump,driving  demonstrations,forget</t>
  </si>
  <si>
    <t>great,news  news,finally  earth,exploiting  exploiting,affection  finally,care  care,mother  mother,earth</t>
  </si>
  <si>
    <t>ownership,supposed  truth,cease  religion,absolute  supposed,truth  absolute,ownership  cease,amaze  environmentalism,religion</t>
  </si>
  <si>
    <t>impact,surprise  bsht,best  fossil,fuels  environmental,impact  solar,wind  personally,endure  problem,policy  reach,climate  ammoungh,24  ability,completely</t>
  </si>
  <si>
    <t>destruction,deprive  world,foundation  reliable,energy  capitalism,western  demanding,end  left,goal  being,played  energy,being  inexpensive,reliable  goal,destroy</t>
  </si>
  <si>
    <t>green,advocate  energy,transition  vastly,nuclear  moment,disastrous  horrible,idea  disastrous,mankind  mankind,green  idea,moment  transition,hydrocarbons  advocate,vastly</t>
  </si>
  <si>
    <t>report,published  hilariously,ironic  sheaf,paper  entire,sheaf  ironic,report  published,like  like,entire</t>
  </si>
  <si>
    <t>global,warming  disaster,disaster  coal,plants  happy,person  plants,china  wars,world  money,money  jealous,people  money,gonna  starting,industrialize</t>
  </si>
  <si>
    <t>hope,energy  governments,disruptive  transition,spite  disruptive,technologies  technologies,breakthrough  energy,transition  spite,governments  glimmer,hope</t>
  </si>
  <si>
    <t>displays,focus  focus,gavnah</t>
  </si>
  <si>
    <t>stubborn,inflation  policy,forces  completely,collapsed  americans,spend  collapsed,act  renewable,electric  borrowing,costs  forces,americans  grid,completely  inflation,reduction</t>
  </si>
  <si>
    <t>electric,cars  cars,recharging  fuel,energy  states,pushing  amount,electricity  pushing,shutter  cars,state  recharging,periods  think,achieve  2030,problem</t>
  </si>
  <si>
    <t>ll,vote  prime,minister  minister,ll</t>
  </si>
  <si>
    <t>carbon,tax  20,tn  ungcf,fund  fund,ungcf  bla,bla  carbon,fund  global,carbon  polluters,pay  etc,etc  greenhouse,gas</t>
  </si>
  <si>
    <t>exploited,insanity  access,fossil  fossil,reserves  committed,phasing  phasing,fossil  wars,access  nice,committed  reserves,exploited  fossil,fighting  fighting,wars</t>
  </si>
  <si>
    <t>bramhfmiqkkn0,ao  ybnxmv19hck,bramhfmiqkkn0  resources,things  things,planned  dave,resources  planned,ybnxmv19hck  ao,ybnxmv19hck</t>
  </si>
  <si>
    <t>accept,warning  people,accept  binary,global  global,warming  narrative,people  naive,binary  liked,degree  context,capitulate  paleo,climatic  informed,people</t>
  </si>
  <si>
    <t>heat,pumps  gas,boilers  being,completely  massive,distrust  started,sitting  being,unsellable  works,50000  cut,fossil  legislation,cut  disinformation,campaigns</t>
  </si>
  <si>
    <t>north,sea  selling,100  show,oil  issue,licenses  fuel,canlt  car,fleet  regimes,untrustworthy  oil,sooner  wish,timeline  zero,regressing</t>
  </si>
  <si>
    <t>nuclear,holocaust  called,zero  2050,60  80,global  wwiii,nuclear  population,died  interpreters,hard  disappointed,presenters  zero,2050  holocaust,famine</t>
  </si>
  <si>
    <t>grid,collapse  think,help  vehicles,energy  power,crisis  ev,vehicles  mothballed,coal  crisis,daily  graft,funds  africa,mothballed  denialists,summer</t>
  </si>
  <si>
    <t>human,anti  renewables,talking  talking,nuclear  dislike,stuff  nuclear,quack  hoax,talks  like,time  warming,anti  recommends,stuff  global,warming</t>
  </si>
  <si>
    <t>polls,suggests  suggests,wrong  presidential,election  mindset,electorate  wrong,mindset  election,fact  fact,leading  electorate,country  trump,win  win,presidential</t>
  </si>
  <si>
    <t>batteries,reducing  energy,implication  ve,conclusion  evs,etc  power,world  assumptions,ve  countries,decarbonise  lithium,copper  including,generators  copper,electrical</t>
  </si>
  <si>
    <t>correct,projecting  iea,forecasts  projecting,linear  linear,growth  forecasts,correct</t>
  </si>
  <si>
    <t>winning,planet  earth,losing  losing,wrong  planet,earth</t>
  </si>
  <si>
    <t>sunshine,best  best,disinfectant  disinfectant,smart  smart,money  money,wind  wind,blows</t>
  </si>
  <si>
    <t>oil,production  world,gas  fossil,fuels  gas,production  saudi,arabia  world,oil  peak,fossil  oil,reserves  economical,demise  gas,exploration</t>
  </si>
  <si>
    <t>solutions,tackle  2050,completely  suggests,breach  breach,2050  runaway,climate  models,include  climate,change  hansen,suggests  change,averted  ipcc,rcp</t>
  </si>
  <si>
    <t>fantastic,analysis</t>
  </si>
  <si>
    <t>climate,change  climate,denying  watched,fan  supersonic,passenger  grind,halt  think,omit  expensive,basically  denying,politicians  liquid,fuels  build,concorde</t>
  </si>
  <si>
    <t>die,welt  saubere,energie  belasten,die  stark,grüne  iea,prognostiziert  engineering,rosie  öl,kohle  umzustellen,die  07m22s,07  daten,entscheidungsträger</t>
  </si>
  <si>
    <t>show,sign  change,think  reports,combating  mauna,loa  inspite,reports  etc,mauna  sign,progress  combating,climate  climate,change  co2,n2o</t>
  </si>
  <si>
    <t>pumps,expensive  simply,answering  heat,pumps  electric,cars  windmills,energy  energy,energy  cost,insurance  uk,high  manufacture,windmills  high,cost</t>
  </si>
  <si>
    <t>revolution,real  policies,spreading  methane,outburst  change,bring  thrive,convincing  convincing,changing  nation,wide  trillions,spent  understand,report  spent,war</t>
  </si>
  <si>
    <t>renewable,energy  raw,materials  energy,technologies  higher,costs  slow,down  cost,raw  pose,challenges  efficiency,gains  materials,renewable  social,equity</t>
  </si>
  <si>
    <t>believe,poisoning  fail,helps  bad,solar  profiteering,green  piles,trash  windmills,deal  mention,bad  mountains,dead  bother,think  like,recycling</t>
  </si>
  <si>
    <t>nuclear,power  sun,solar  realistic,replacement  solar,solved  availability,wind  employ,nuclear  intermittency,sun  power,problem  energy,nuclear  fuel,energy</t>
  </si>
  <si>
    <t>farms,chopping  down,trees  destroying,farms  trees,connect  connect,lot  lot,sense  chopping,down</t>
  </si>
  <si>
    <t>global,warming  vei,eruptions  eruption,trying  previous,temperature  degrees,century  vei,eruption  temperature,global  warming,held  bring,increase  eruptions,rare</t>
  </si>
  <si>
    <t>planet,mentioned  past,episodes  bowral,australia  episode,reduce  think,good  dioxide,oceans  carbon,dioxide  oceans,think  ucla,moved  best,solution</t>
  </si>
  <si>
    <t>starting,1750  masses,depth  curve,starting  lack,cold  cold,ocean  production,tipping  close,4c  acceleration,active  temps,ignored  2c,acceleration</t>
  </si>
  <si>
    <t>support,wrong  wrong,_bafhi_rh7y  climate,supporting  supporting,hamas  hamas,support  _bafhi_rh7y,_bafhi_rh7y  protection,climate  climate,protection</t>
  </si>
  <si>
    <t>people,burning  air,authorities  energy,shocking  live,cleaner  lifestyle,care  plastics,green  organic,matter  green,leaves  pvc,trash  places,world</t>
  </si>
  <si>
    <t>exasperated,time</t>
  </si>
  <si>
    <t>soooooooooooo,cked  constructive,comment  wisdom,repeating  share,bit  bit,wisdom  comment,soooooooooooo  previous,constructive  repeating,previous</t>
  </si>
  <si>
    <t>co2,production  china,recommend  evs,tough  slowly,collapsing  survive,china  words,china  housing,sectors  outlook,optimistic  care,slightest  large,companies</t>
  </si>
  <si>
    <t>opec,aliens</t>
  </si>
  <si>
    <t>practice,walking  large,carrington  event,occurs  service,practice  occurs,burns  ev,electric  carrington,event  electric,service  burns,ev</t>
  </si>
  <si>
    <t>fake,news  favorite,pass  efficient,solar  companies,power  prices,socialism  builds,efficient  people,afford  socialism,prefer  spreading,fake  drugs,people</t>
  </si>
  <si>
    <t>2030,useful  criteria,euro  euro,politician  discuss,financial  maastricht,criteria  discuss,statements  politician,elected  elected,2030  better,discuss  bindung,commitments</t>
  </si>
  <si>
    <t>time,transition  2050,goal  baked,potato  fossil,heads  pretty,time  big,time  scored,big  ve,pretty  zero,2050  down,road</t>
  </si>
  <si>
    <t>rethink,disruption  chart,2010  break,report  curve,chart  2010,2024  chart,wind  projection,chart  eia,projection  report,report  2024,eia</t>
  </si>
  <si>
    <t>being,actioned  workable,being  long,approximately  interesting,intervention  systematic,changes  answered,long  correct,course  statics,departments  alternative,energy  references,believer</t>
  </si>
  <si>
    <t>offs,rip  rip,offs  th,pay  capturing,politicians  11,58  practice,th  companies,better  politicians,capturing  th,things  offs,th</t>
  </si>
  <si>
    <t>ally,global  germany,coal  coal,nuclear  nuclear,forget  greenpeace,push  forget,ally  global,warming  push,germany</t>
  </si>
  <si>
    <t>war,output  industry,thx  naples,italy  weapon,industry  love,war  thx,sean  conflicts,avoided  emissions,conflicts  emissions,weapon  output,carbon</t>
  </si>
  <si>
    <t>people,world  calculate,people  best,people  reduction,best  chanel,calculate  best,better  rule,best  world,china  tech,chanel  china,rule</t>
  </si>
  <si>
    <t>fossil,fuels  green,energy  far,lower  graphics,fossil  foreseeable,future  cheaper,energy  beat,cheaper  slowed,slow  future,fact  usage,slowed</t>
  </si>
  <si>
    <t>fossil,fuel  green,energy  manpower,skill  solar,panel  fuel,right  money,manpower  fuel,meet  stop,fossil  future,demand  solar,wind</t>
  </si>
  <si>
    <t>words,limited  structure,concrete  stream,uninterupted  uninterupted,words  limited,structure  concrete,message</t>
  </si>
  <si>
    <t>blind,alley  evs,inflamable  inflamable,blind</t>
  </si>
  <si>
    <t>climate,emergency  climate,change  world,leading  climate,science  global,warming  dr,clauser  physics,prize  energy,global  climate,lies  nobel,physics</t>
  </si>
  <si>
    <t>lol,winning  messed,entire  created,mess  generation,created  entire,generation  winning,messed</t>
  </si>
  <si>
    <t>action,worse  guaranteed,inaction  historically,consistent  action,dependent  consistent,pattern  dependent,wealthy  people,governments  governments,control  peak,oil  huh,figure</t>
  </si>
  <si>
    <t>bust,lies  green,deal  discovered,pay  global,green  greens,friends  deal,bust  weight,arguements  friends,weight  favour,discovered  arguements,favour</t>
  </si>
  <si>
    <t>fossil,fuels  human,enterprise  size,human  reduce,quantum  10,80  20,period  percentage,primary  freely,voluntarily  earth,rises  rises,20</t>
  </si>
  <si>
    <t>usamericans,starve  vice,versa  tipping,exceeded  amoc,balance  warming,collapse  ireland,sweet  ukraine,vice  named,justice  collapse,amoc  vs,meteoric</t>
  </si>
  <si>
    <t>nuclear,fusion  happened,process  5times,energy  energy,inputted  news,eng8  inputted,verified  eng8,nuclear  produced,5times  verified,happened  process,works</t>
  </si>
  <si>
    <t>leader,grand  bigwig,attitude  fuel,statement  statements,acts  pro,fossil  love,stance  leaders,kowtowed  legislation,increased  retraction,congratulate  event,read</t>
  </si>
  <si>
    <t>people,great  wealthy,people  cars,masses  masses,pricing  automakers,produce  pricing,10  electric,cars  10,wealthy  produce,electric</t>
  </si>
  <si>
    <t>motor,industry  ev,majority  industry,acts  industry,called  enginindustry,ev  majority,vehicles  engine,industry  called,sunak  majority,motor  vehicles,enginindustry</t>
  </si>
  <si>
    <t>paying,attention  cars,causing  congo,paying  electric,cars  horrible,thing  huge,genocide  genocide,congo  thing,electric  causing,huge</t>
  </si>
  <si>
    <t>air,source  source,heat  heat,pump  system,installed  induction,stovetop  electric,water  units,vehicle  installed,panels  unit,air  battery,backup</t>
  </si>
  <si>
    <t>environment,hope  world,starts  feelings,right  improving,impact  effort,improving  care,effort  impact,environment  starts,care  like,world  feels,like</t>
  </si>
  <si>
    <t>helping,hand  bath,overflowing  overflowing,taps  heat,night  plug,carbon  mind,cheers  hand,apply  remedy,cheers  recoverable,heat  carbon,dioxide</t>
  </si>
  <si>
    <t>donate,gravicity</t>
  </si>
  <si>
    <t>require,industrial  worker,exploitation  industrial,revolution  employee,ownership  featuring,worker  revolution,featuring  netzero,africa  international,employee  ownership,require  africa,international</t>
  </si>
  <si>
    <t>fossil,fuel  ignore,urgent  ev,being  fossil,fuels  relevant,green  being,policy  solve,huge  energy,renewable  grids,handle  easily,cheaply</t>
  </si>
  <si>
    <t>allen,car</t>
  </si>
  <si>
    <t>fuels,taxation  fossil,fuels  occure,develpe  develpe,cleaner  taxing,rich  taxation,cost  publics,natural  resources,occure  reduce,fossil  cleaner,alternatives</t>
  </si>
  <si>
    <t>public,lost  reelected,public  promises,past  personal,basis  biden,green  past,reelected  green,appetite  appetite,costly  green,promises  lost,green</t>
  </si>
  <si>
    <t>power,plants  20,000  electric,cars  coal,oil  district,heating  gas,coal  000,gw  industry,power  people,live  eco,socialist</t>
  </si>
  <si>
    <t>green,developments  cost,reality  2050,money  provide,25  shortages,materials  by2050,fullelectrification  backup,backup  underestimate,effect  co2,saturation  propaganda,lies</t>
  </si>
  <si>
    <t>feel,like  decisions,government  decisions,think  citizens,decisions  like,governments  think,citizens  governments,trusted  trusted,decisions</t>
  </si>
  <si>
    <t>carbon,dioxide  climate,change  change,scam  money,power  dioxide,atmosphere  total,carbon  proves,climate  scam,brainwash  man,proves  atmosphere,04</t>
  </si>
  <si>
    <t>changes,stick  matter,production  correctly,easy  policy,changes  carrot,correctly  economic,policy  easy,sounds  rates,economic  tools,matter  agree,tools</t>
  </si>
  <si>
    <t>solar,stop  hare,krishna  stop,eating  eating,meat  chant,hare  meat,chant</t>
  </si>
  <si>
    <t>gas,wind  damaging,coal  polluting,damaging  fix,energy  nuclear,losing  losing,destructive  coal,gas  renewables,fix  destructive,renewables  energy,polluting</t>
  </si>
  <si>
    <t>future,platforms  add,solarpv  nice,add  solar,future  solarpv,tv  tv,solar</t>
  </si>
  <si>
    <t>cool,animation  good,cool  animation,program</t>
  </si>
  <si>
    <t>moisture,creating  earth,co2  plants,trees  benefit,decarbonization  production,increasing  movement,insane  greens,earth  decarbonization,harmful  deserts,greening  co2,benefit</t>
  </si>
  <si>
    <t>like,devotion  climate,crisis  socialism,imaginary  demanding,socialism  actual,climate  devotion,scarier  enemy,humanity  crisis,happening  imaginary,crisis  socialism,enemy</t>
  </si>
  <si>
    <t>laws,physics  terms,nature  happen,terms  growth,happen  behavior,dictates  slow,growth  collective,decarbonize  physics,results  green,deal  results,pleasant</t>
  </si>
  <si>
    <t>finally,realizes  climate,crisis  changes,finally  realizes,climate  calculus,changes</t>
  </si>
  <si>
    <t>rights,dignity  materials,poor  poor,record  mining,processing  countries,appear  appear,leading  big,overcome  luck,concerning  well,coin  leading,mining</t>
  </si>
  <si>
    <t>style,life  energy,style  transition,energy  real,transition</t>
  </si>
  <si>
    <t>idiots,200ppm  co2,200ppm  200ppm,450ppm  1000ppm,idiots  vegetation,starving  450ppm,1000ppm  starving,millennia  millennia,co2</t>
  </si>
  <si>
    <t>nuclear,war  hungry,think  unfortunately,humans  world,problems  envisages,global  logic,reason  olivia,envisages  logical,solution  corrupt,oppressed  thirds,world</t>
  </si>
  <si>
    <t>climate,change  order,arranging  titanic,urgent  important,reasons  wading,multidisciplinary  ukrainians,donbas  corrupt,countries  resources,ukraine  competing,natural  annex,russia</t>
  </si>
  <si>
    <t>caused,current  understand,geopolitical  war,end  nature,geologists  natural,resources  accept,costs  dictated,subjects  situation,empowered  geopolitical,situation  exist,nature</t>
  </si>
  <si>
    <t>excepting,tyranised  tyranised,time  south,excepting  green,world  happy,hope  nowertimesunder,lable  democracy,west  global,south  time,nowertimesunder  lost,democracy</t>
  </si>
  <si>
    <t>change,hysteria  doubled,down  climate,hysteria  climate,change  countries,time  hysteria,agenda  acid,test  like,3rd  supply,runs  germany,doubled</t>
  </si>
  <si>
    <t>moot,decarbonization  talk,moot  considering,climate  climate,emergency  human,survival  survival,human  emergency,talk  matter,human  decarbonization,matter  human,extermination</t>
  </si>
  <si>
    <t>green,energy  developing,countries  fuel,coal  assessment,explain  minerals,metals  metals,increase  restricting,supply  energy,poor  poor,developing  supply,minerals</t>
  </si>
  <si>
    <t>regimes,achieve  ecological,diplomacy  allying,wiht  china,allying  stop,china  undemocratic,regimes  wiht,corrupt  suffice,stop  afraid,ecological  corrupt,undemocratic</t>
  </si>
  <si>
    <t>people,dying  millions,people  environment,stupid  destroy,environment  offers,viable  viable,future  extreme,poverty  disasters,extreme  power,offers  action,destroy</t>
  </si>
  <si>
    <t>cincerely,good  crash,people  hope,cincerely  topics,objectively  person,presentation  economies,flourish  outcome,time  knowledge,analysis  based,real  like,person</t>
  </si>
  <si>
    <t>promotion,international  international,bureaucracy  big,promotion</t>
  </si>
  <si>
    <t>bears,humans  co2,carbon  growth,battery  weather,co2  battery,technology  adapt,slow  technology,transitioning  plant,growth  good,plant  carbon,co2</t>
  </si>
  <si>
    <t>co2,atmosphere  green,energy  wildly,exaggerated  blind,spots  completely,ignored  benefits,co2  spots,called  called,green  ignored,negative  negative,effects</t>
  </si>
  <si>
    <t>ukraine,high  win,war  war,ukraine  determined,win  mineral,resources  high,mineral  russia,determined</t>
  </si>
  <si>
    <t>won,halving  building,hundreds  house,won  plants,wet  wet,fart  additional,coal  coal,plants  green,house  planning,building  gasses,2030</t>
  </si>
  <si>
    <t>90,cheaper  material,mineral  working,create  required,decarbonization  ev,batteries  #5,innovation  grid,batteries  renewables,renewables  plastic,#5  #3,grid</t>
  </si>
  <si>
    <t>world,100  ages,renounce  talk,love  delay,moment  inhabitants,life  biodiversity,soils  natural,resources  thing,obvious  change,direction  materials,living</t>
  </si>
  <si>
    <t>major,players  impact,rest  desperately,poor  continue,destroy  agree,lazard  scale,problem  rain,forest  country,refuses  alternatives,cut  players,china</t>
  </si>
  <si>
    <t>future,negative  listen,alarmists  alarmists,sound  negative,belive  sound,trustworthy  influence,future  trustworthy,influence</t>
  </si>
  <si>
    <t>national,grid  fossil,fuels  solar,pv  existing,national  millions,millions  parked,23hrs  rooftop,solar  electricity,grid  transmission,grid  millions,klm</t>
  </si>
  <si>
    <t>great,breadth  care,planet  fundamentally,green  consideration,fundamentally  breadth,considerations  gripe,gripes  gripes,maths  dubious,care  great,speech  transition,approach</t>
  </si>
  <si>
    <t>local,level  unable,stop  challenges,remain  developed,idealists  interesting,discussion  level,decisions  withers,people  sovereigny,forrest  spot,horizon  horizon,promise</t>
  </si>
  <si>
    <t>greener,review  atmosphere,planet  plants,photosynthesis  easy,convince  convince,seemingly  science,book  planet,greener  school,science  grade,school  review,grade</t>
  </si>
  <si>
    <t>work,solve  400,billion  fossil,fuels  solve,problem  fuels,build  problems,lady  billion,dollars  inflation,reduction  develops,theory  world,work</t>
  </si>
  <si>
    <t>wind,turbines  000,wind  panels,save  generated,build  build,wind  batch,broke  power,generated  planet,pollute  turbines,produce  leach,precious</t>
  </si>
  <si>
    <t>china,pushing  safe,enrich  dependant,china  98,dependant  reason,nuclear  clean,safe  eu,98  nuclear,clean</t>
  </si>
  <si>
    <t>solar,windmills  2023,show  human,wars  science,misused  weapons,oil  decab,solar  decarbonization,co2  good,intention  people,science  region,defined</t>
  </si>
  <si>
    <t>technological,beliefs  beliefs,sigh  close,right  sigh,plan  hold,flaws  fall,economic  end,fall  plan,hold  economic,technological  right,end</t>
  </si>
  <si>
    <t>photons,surface  infrared,photons  green,house  atmosphere,h2o  thousands,tons  house,efect  h2o,molecules  h2o,gas  molecules,atmosphere  like,co2</t>
  </si>
  <si>
    <t>carbon,fuel  hydrogen,nuclear  fuel,hydrogen  cars,green  nuclear,power  electric,cars  green,electric  power,green  green,dirty  dirty,battery</t>
  </si>
  <si>
    <t>continue,steal  european,theft  resources,europeans  european,colonialism  europeans,continue  rest,world  steal,rest  colonialism,finally  world,european  finally,end</t>
  </si>
  <si>
    <t>zero,carbon  mention,zero  temperature,weather  thermostat,controlling  plan,zero  carbon,electricity  weather,patterns  minerals,mention  great,geopolitical  controlling,money</t>
  </si>
  <si>
    <t>negative,effects  fossil,fuels  results,transfromation  realize,results  theory,conservation  effects,renewables  form,true  changed,form  destroyed,changed  centuries,effects</t>
  </si>
  <si>
    <t>single,mention  propose,curb  heard,groups  specifically,propose  nuclear,heard  expense,groups  groups,specifically  groups,act  act,interests  curb,weak</t>
  </si>
  <si>
    <t>ain,happen</t>
  </si>
  <si>
    <t>woman,paul  ehrlich,climate  processing,permanent  paul,ehrlich  earths,happening  battery,chemistries  substantially,lithium  climate,policy  content,down  drive,cobalt</t>
  </si>
  <si>
    <t>like,damned  sounds,like  damned,damned</t>
  </si>
  <si>
    <t>radical,blue  green,radical</t>
  </si>
  <si>
    <t>good,regime  global,public  regime,naïve  public,good</t>
  </si>
  <si>
    <t>fossil,fuels  fuel,energy  growth,fossil  fossil,fuel  energy,energy  energy,decline  evs,continued  fuels,massive  sufficient,electrical  uptake,metal</t>
  </si>
  <si>
    <t>future,single  electro,magnetic  radiation,pollution  resolve,emr  magnetic,radiation  sources,workable  emr,electro  energy,sources  single,doubt  decarbonization,future</t>
  </si>
  <si>
    <t>laid,egg  sown,za6de5jrnb0  2m30s,30  za6de5jrnb0,2m30s  goose,laid  egg,sown</t>
  </si>
  <si>
    <t>oil,gas  lived,west  tech,scale  power,quit  energy,input  larger,shares  witnessed,transition  finance,centered  problem,current  global,distribution</t>
  </si>
  <si>
    <t>alleviate,preferably  attempts,being  choice,fatal  spot,like  being,alleviate  blind,spot  preferably,eliminate  like,issues  eliminate,choice  issues,attempts</t>
  </si>
  <si>
    <t>critical,materials  amazing,connected  supply,critical  tribesman,salt  worth,spreading  energy,design  materials,war  terms,past  power,structure  past,zero</t>
  </si>
  <si>
    <t>history,cycle  enjoy,delusion  life,end  cycle,civilizations  end,enjoy  problems,money  money,energy  civilizations,coming  coming,problems</t>
  </si>
  <si>
    <t>critical,facts  great,insights</t>
  </si>
  <si>
    <t>society,consumerist  format,relations  creative,society  relations,creative  consumerist,approach</t>
  </si>
  <si>
    <t>human,rights  avoid,massive  climate,crisis  transition,avoid  solar,wind  legitimate,developing  nuclear,orderly  crisis,reasonable  component,technology  battery,tech</t>
  </si>
  <si>
    <t>blind,spot  mention,biggest  spot,overpopulation  biggest,blind</t>
  </si>
  <si>
    <t>system,reality  oil,stay  happen,simple  scrapped,materials  electric,system  gonna,replaced  machinery,trains  reasons,long  20,teslas  long,term</t>
  </si>
  <si>
    <t>green,future  focus,eliminating  future,focus  requirement,green  cycles,requirement  pollution,co2  real,pollution  temperatures,long  raise,global  co2,raise</t>
  </si>
  <si>
    <t>green,transition  stable,demography  south,america  united,states  change,climate  climate,change  states,stable  technology,scale  state,liberal  aspects,green</t>
  </si>
  <si>
    <t>city,world  reality,world  lfp,sodium  etc,reality  agree,geopolitical  continue,try  aluminium,sulfur  consequences,continue  aluminium,graphene  try,building</t>
  </si>
  <si>
    <t>rare,earth  european,union  union,relies  china,98  earth,metals  metals,yikes  98,rare  relies,china</t>
  </si>
  <si>
    <t>final,slides  globalization,big  abrupt,reduction  movement,perspective  reset,perspective  green,movement  implied,abrupt  translate,nice  demand,supply  chains,etc</t>
  </si>
  <si>
    <t>profits,bright  mentioned,99  battery,production  market,huge  sodium,ion  technology,100  huge,profits  99,recyclable  materials,mentioned  well,technology</t>
  </si>
  <si>
    <t>ppm,co2  16,minerals  like,pharma  power,players  correlation,warming  hundreds,oil  historically,200  red,herring  drugs,work  co2,warming</t>
  </si>
  <si>
    <t>super,efficient  engines,share  share,world  pollute,global  building,super  world,world  global,level  efficient,engines  intellect,building  spending,intellect</t>
  </si>
  <si>
    <t>fossil,fuels  mineral,intensive  disagree,basic  mineral,fuels  basic,premise  future,mineral  fuels,mineral  fuels,future  premise,fossil</t>
  </si>
  <si>
    <t>ai,goverment  factors,consideration  listens,ai  king,planet  solution,independant  interests,think  humanity,listens  planet,live  national,interests  falling,victim</t>
  </si>
  <si>
    <t>popularized,decade  based,economy  maker,called  film,maker  called,peter  peter,joseph  idea,popularized  economy,idea  works,well  realized,advocated</t>
  </si>
  <si>
    <t>guidance,mentioned  useful,forms  single,doubt  science,speaking  sole,world  actual,science  concerning,decarbonization  careful,hand  reminded,words  good,innovation</t>
  </si>
  <si>
    <t>try,feel  change,drastically  feel,better  volcanic,activity  like,feel  70,like  humans,humans  feel,good  warning,ice  ice,age</t>
  </si>
  <si>
    <t>china,think</t>
  </si>
  <si>
    <t>fossil,fuels  identifies,geopolitical  missing,minerals  generation,wears  minerals,completed  read,life  elements,extent  world,order  wears,build  oil,generation</t>
  </si>
  <si>
    <t>fossil,fuels  cheap,poor  order,keep  energy,cheap  hopefully,keep  quality,life  decarbonization,happening  life,oceans  people,higher  thankfully,decarbonization</t>
  </si>
  <si>
    <t>doubt,load  decarbonisation,doubt  load,rubbish</t>
  </si>
  <si>
    <t>soylent,green  researched,australia  topic,soylent  unspeakably,evil  aluminum,graphene  technology,ve  movie,topic  heard,aluminum  better,battery  dystopian,movie</t>
  </si>
  <si>
    <t>dispersed,abundant  recycled,rich  abundant,materials  materials,ev  uranium,widely  widely,dispersed  rich,reason  ev,batteries  reason,war  word,nuclear</t>
  </si>
  <si>
    <t>rare,earth  land,processing  earth,metals  pollute,land  china,willing  heavily,pollute  willing,heavily  processing,rare</t>
  </si>
  <si>
    <t>water,earth  generation,large  serves,heat  steam,time  large,amounts  geothermal,energy  available,magma  feet,incredible  time,serves  amounts,electric</t>
  </si>
  <si>
    <t>ethanol,ice  co2,waste  lower,co2  nuclear,wind  battery,ev  like,ethanol  solar,pv  fuel,like  is1,co2  car,is1</t>
  </si>
  <si>
    <t>unsustainable,forced  cities,infrastructure  power,sustainable  cleaner,environment  lives,cleaner  assumption,abandoned  green,growth  analysis,economic  sustainable,forms  converting,cities</t>
  </si>
  <si>
    <t>phosphate,largest  fossil,fuels  lfp,lithium  ev,cobalt  renewables,result  studied,thoroughly  nickel,lfp  largest,lithium  result,mining  person,talking</t>
  </si>
  <si>
    <t>gold,green  enable,green  demanding,required  overcome,economics  24,seasons  milk,honey  being,offered  interested,green  whiner,demanding  global,warming</t>
  </si>
  <si>
    <t>mao,tse  tung,failings  collectivization,redistribution  tse,tung  chávez,mao  hugo,chávez  read,stalin  objective,view  lady,read  redistribution,lady</t>
  </si>
  <si>
    <t>history,empire  humanity,sachs  empires,wwii  brutal,empires  wwii,uk  anglo,saxons  world,anglo  weaponizing,energy  saxons,history  sachs,brutal</t>
  </si>
  <si>
    <t>king,world  woman,king</t>
  </si>
  <si>
    <t>good,regime  regime,misunderstood  global,public  change,regime  framework,global  public,good  regime,framework  good,change</t>
  </si>
  <si>
    <t>china,china  nuclear,fission  batteries,cost  fission,power  mining,ecological  well,wind  ecological,damages  mining,nuclear  cost,terms  china,decarbonization</t>
  </si>
  <si>
    <t>dictatorship,europe  global,regime  europe,charge  international,dictatorship  regime,international</t>
  </si>
  <si>
    <t>material,china  processing,infrastructure  far,higher  processing,product  raw,materials  deliver,raw  infrastructure,deliver  higher,raw  china,processing  build,processing</t>
  </si>
  <si>
    <t>opinion,focus  sense,pragmatism  pragmatism,eventually  focus,increasingly  finally,good  source,energy  eventually,green  dense,source  debate,opinion  common,sense</t>
  </si>
  <si>
    <t>protect,individual  people,destroy  figure,right  property,read  destroy,world  freest,countries  political,agenda  understand,case  property,rights  governments,protect</t>
  </si>
  <si>
    <t>monitored,closely  important,source  far,doubt  existing,machines  important,difference  item,energy  materials,exist  scarce,item  system,consume  raw,materials</t>
  </si>
  <si>
    <t>molten,salt  reactor,solarwind  salt,reactor</t>
  </si>
  <si>
    <t>extremely,useful  great,documentary  motivate,people  documentary,extremely  part,process  useful,motivate  people,part</t>
  </si>
  <si>
    <t>nuclear,greenwashing</t>
  </si>
  <si>
    <t>energy,future  energy,source  source,sustainable  sustainable,energy  nuclear,energy  believe,nuclear</t>
  </si>
  <si>
    <t>fake,news</t>
  </si>
  <si>
    <t>like,california  understand,countries  countries,sunny  zero,sunny  weather,zero  easy,zero  sunny,weather  countries,like  sunny,countries  california,people</t>
  </si>
  <si>
    <t>building,west  governments,leading  municipal,building  panels,investments  west,rooves  show,people  local,infrastructure  covered,solar  infrastructure,show  investments,local</t>
  </si>
  <si>
    <t>giants,prefer  green,energy  renewable,energy  attain,green  world,world  world,business  world,giants  driven,world  energy,renewable  stable,world</t>
  </si>
  <si>
    <t>elemagnetis,wave  dr,waive  antenna,tower  waive,elemagnetis  true,blind  deducting,antenna  blind,spotted  tower,accusation  interference,deducting  wave,interference</t>
  </si>
  <si>
    <t>feel,like  reading,narration  ai,reading  like,ai</t>
  </si>
  <si>
    <t>chemistry,answer</t>
  </si>
  <si>
    <t>03,cute  uvf2yw7ufoe,25m03s  25m03s,25  25,03  guy,uvf2yw7ufoe</t>
  </si>
  <si>
    <t>planet,saving  saving,human  kind,planet  human,kind  planet,long  saving,planet</t>
  </si>
  <si>
    <t>oil,gas  gas,rest  gas,count  world,burn  count,carbon  carbon,neutral  norway,building  burn,country  society,selling  building,carbon</t>
  </si>
  <si>
    <t>hydrogen,power</t>
  </si>
  <si>
    <t>big,country  develop,ecosystem  money,develop  big,industrialization  dream,easily  country,greener  country,big  economy,achieve  struggle,dream  big,money</t>
  </si>
  <si>
    <t>cent,kwh  000,euro  canceled,contracts  switched,canceled  pay,cent  euro,state  cents,people  moment,believe  europe,uk  cables,pay</t>
  </si>
  <si>
    <t>lot,happend  sadly,believe  power,facilities  happend,couple  countries,solution  build,lot  windmill,blades  subsided,like  nuclear,windmill  renewable,nuclear</t>
  </si>
  <si>
    <t>rest,waste  hydrogen,late  option,rest  time,money  money,hydrogen  renewables,solar  geothermal,option  late,technology  waste,time  solar,wind</t>
  </si>
  <si>
    <t>electronic,material  amount,debt  connections,solar  germany,lot  material,waste  lot,energy  energy,destroying  wind,energy  energy,sea  create,enormous</t>
  </si>
  <si>
    <t>missing,choice  people,missing  choice,renewables</t>
  </si>
  <si>
    <t>copper,required  quality,solar  thing,ve  high,quality  ve,high  stupidest,thing  refine,silica  solar,panels  orders,magnitude  silica,amount</t>
  </si>
  <si>
    <t>reach,goal  china,lead  lead,world  world,reach</t>
  </si>
  <si>
    <t>planet,parents  parents,borrowing  true,profound  borrowing,children  children,true  inherit,planet</t>
  </si>
  <si>
    <t>exciting,documentary</t>
  </si>
  <si>
    <t>sir,kamma  power,generation  wheel,power  generation,system  system,advanced  gear,fly  kamma,gear  fly,wheel  advanced,add</t>
  </si>
  <si>
    <t>house,roofs  sustain,worry  tall,buildings  worry,powering  solar,combo  battery,solar  solar,panels  york,tall  space,house  combo,sustain</t>
  </si>
  <si>
    <t>build,beglian  island,build  coast,worlds  island,kind  beglian,coast  elisabeth,island  princess,elisabeth  energy,island  worlds,energy</t>
  </si>
  <si>
    <t>lot,places  whonhave,pv  renewable,energy  plug,grid  places,country  wind,energy  co2,zero  building,cov  english,offshore  tesla,tower</t>
  </si>
  <si>
    <t>luck,california  good,luck</t>
  </si>
  <si>
    <t>gilette,foamy  coco,teh  internet,electricity  gilette,gilette  orange,coco  electricity,kwh_meter  foamy,coca  teh,kotak  cola,floridina  florida,orange</t>
  </si>
  <si>
    <t>great,invalid#zcsafez</t>
  </si>
  <si>
    <t>technology,generate  environment,affect  harm,environment  electricity,harm  affect,climate  generate,electricity</t>
  </si>
  <si>
    <t>mathematics,dumb  born,human  increase,energy  simple,mathematics  time,push  human,acctualy  brake,animals  thing,time  control,production  drib,difficulties</t>
  </si>
  <si>
    <t>solar,panels  solar,wind  prohibitively,expensive  1000,thorium  nuclear,energy  converted,combustible  trucks,locomotives  zero,emissions  cheap,thorium  value,200usd</t>
  </si>
  <si>
    <t>metals,stuff  offsetting,emissions  money,co2  tax,money  co2,offsetting  co2,problem  planting,trees  heavy,metals  pipe,dream  stealing,tax</t>
  </si>
  <si>
    <t>children,powerful  borrowing,children  planet,parents  touching,statement  parents,borrowing  inherit,planet  powerful,touching</t>
  </si>
  <si>
    <t>bangladesh,solar  build,houses  people,buy  mandatory,villages  months,build  villages,people  houses,sell  solar,panels  buy,months  kind,mandatory</t>
  </si>
  <si>
    <t>planet,parents  parents,borrowing  powerful,statement  borrowing,children  inherit,planet  statement,inherit</t>
  </si>
  <si>
    <t>great,documentary</t>
  </si>
  <si>
    <t>boards,solutions  swapping,pc  solutions,correction  pc,boards  correction,nuclear</t>
  </si>
  <si>
    <t>motto,documentary  available,right  reality,matter  right,solutions  expressing,ideas  decades,available  ideas,work  pretentious,words  working,decades  pretty,ideas</t>
  </si>
  <si>
    <t>ด,พร  างไม,ม  ขภาพท,ด  ส,ขภาพท  กช,ว  เพ,อได  มสร,างให  ารวบรวมก,นไว  อมเพ,อจะได  ษท,ปนเป</t>
  </si>
  <si>
    <t>reducing,consumption  key,europe  consumption,key  america,consume  europe,america</t>
  </si>
  <si>
    <t>wish,hopeful  great,documentary  hopeful,great  documentary,wish</t>
  </si>
  <si>
    <t>10,billion  billion,people  people,population</t>
  </si>
  <si>
    <t>fantastic,documentary</t>
  </si>
  <si>
    <t>things,appreciation  armstrong,mcguire  earth,things  heaven,earth  things,things  scott,hammer  jesus,christ  appreciation,alive  hammer,armstrong  christ,amen</t>
  </si>
  <si>
    <t>part,campaign  hydrogen,economy  campaign,standing  abundance,hydrogen  far,efficacious  green,energy  hydrogen,key  practices,well  hydrogen,create  efficacious,current</t>
  </si>
  <si>
    <t>solar,nuclear  nuclear,night</t>
  </si>
  <si>
    <t>sewage,facility  methane,gas  extaction,methane  develop,extaction  gas,sewage</t>
  </si>
  <si>
    <t>love,woman  leading,challenge  woman,leading</t>
  </si>
  <si>
    <t>help,planet  planet,better  people,companies  provide,names  job,invest  names,companies  descriptions,people  apply,job  companies,descriptions  companies,apply</t>
  </si>
  <si>
    <t>documentation,interesant  great,documentation</t>
  </si>
  <si>
    <t>humanity,change  adopt,worries  change,adopt</t>
  </si>
  <si>
    <t>hydrogen,green  stop,calling  energy,simply  burning,woodchips  simply,ain  calling,burning  woodchips,hydrogen  green,energy</t>
  </si>
  <si>
    <t>europe,leader  energy,technology  leader,energy</t>
  </si>
  <si>
    <t>documental,propaganda  propaganda,siemens</t>
  </si>
  <si>
    <t>motors,100s  like,motors  100s,fan  wind,mill  mill,fan  fan,energy  energy,like</t>
  </si>
  <si>
    <t>source,inspiration  fantastic,source</t>
  </si>
  <si>
    <t>arab,countries  gas,russia  oil,gas  buy,democratic  democratic,oil  russia,arab  shameful,buy</t>
  </si>
  <si>
    <t>attended,energy  trust,attended  energy,conferences  conferences,china  saudi,arabia  china,saudi</t>
  </si>
  <si>
    <t>word,like  city,aiming  bout,wishful  being,california  wind,farms  china,electric  climate,green  cars,coal  global,south  engineering,content</t>
  </si>
  <si>
    <t>power,plants  source,energy  ridiculous,fortune  best,cleanest  oil,gas  energy,nuclear  norway,clean  energy,ridiculous  nuclear,power  selling,oil</t>
  </si>
  <si>
    <t>baby,drill  drill,baby</t>
  </si>
  <si>
    <t>energy,destroy  sun,earth  destroy,asteroid  earth,energy</t>
  </si>
  <si>
    <t>solar,panel  house,finland  panel,warm  shit,try  warm,house  try,solar  green,shit</t>
  </si>
  <si>
    <t>standing,stock  zone,planet  ecologically,constrained  ecological,restoration  restoration,enhancement  based,ecologically  ecologically,based  habitable,zone  plants,animals  wild,plants</t>
  </si>
  <si>
    <t>great,developing  countries,utilize  developing,countries</t>
  </si>
  <si>
    <t>informative,actual</t>
  </si>
  <si>
    <t>live,planet  resources,money  profitable,entire  direct,increase  believe,profitable  undertand,live  effort,direct  energy,comsumption  planet,invest  drop,petroleum</t>
  </si>
  <si>
    <t>californian,mayor  lwellien,californian  robert,lwellien</t>
  </si>
  <si>
    <t>fossil,fuels  renwables,future  fuels,dictatorships  reliance,fossil  reduce,reliance  future,reduce</t>
  </si>
  <si>
    <t>norwegian,oil  gas,2030  oil,gas  2030,xd</t>
  </si>
  <si>
    <t>renewable,energy  sources,expected  energy,row  renewables,2045  allowed,export  demand,840  energy,wind  wind,hydropower  produced,1102  expected,100</t>
  </si>
  <si>
    <t>formar,criterio  humano,debe  educación,escolar  criterio,cientifico  escolar,secundaria  saber,educación  positivas,vuelta  cientifico,humano  debe,aportar  aportar,cosas</t>
  </si>
  <si>
    <t>village,lützerath  german,village</t>
  </si>
  <si>
    <t>10,sad  batteries,obsolete  uvf2yw7ufoe,33m10s  sad,batteries  33m10s,33  33,10</t>
  </si>
  <si>
    <t>subway,aprovecharlo  muestran,varios  calefacion,varios  aplicar,paises  pueden,aplicar  detalles,inovadores  varios,edificios  acumulador,lleno  varios,detalles  arena,capturar</t>
  </si>
  <si>
    <t>energy,crisis  great,work  missed,macrovoices  work,energy  ve,missed  episode,great  erik,think  macrovoices,episode  excellent,congratulations  think,ve</t>
  </si>
  <si>
    <t>biden,goof  joe,biden</t>
  </si>
  <si>
    <t>expertise,love  business,personally  love,hear  down,business  heat,power  electricity,called  documentary,down  great,job  power,california  like,pandemic</t>
  </si>
  <si>
    <t>content,wait  content,ve  ve,amazing  check,series  erik,incredible  incredible,content  creating,content  wait,check  job,creating  amazing,job</t>
  </si>
  <si>
    <t>release,energy  series,congratulations  documentary,series  energy,documentary  well,release</t>
  </si>
  <si>
    <t>amazing,insightful</t>
  </si>
  <si>
    <t>engineer,trade  gonna,people  people,click  better,designer  designer,gonna  erik,engineer  trade,better</t>
  </si>
  <si>
    <t>2000,ng  frozen,hydrates  hydrates,2000  ng,supply</t>
  </si>
  <si>
    <t>fossil,fuels  like,effort  fuels,primary  energy,includes  agriculture,transport  unrealistically,high  developed,nations  energy,system  quick,people  scale,global</t>
  </si>
  <si>
    <t>share,widely  erik,share  amazing,erik  promising,politicians  politicians,netherlands  netherlands,best</t>
  </si>
  <si>
    <t>erik,great  great,episode</t>
  </si>
  <si>
    <t>topic,politicians  luck,erik  opens,eyes  people,dumber  politicians,sadly  world,stupid  fear,lean  dumber,politicians  finally,common  public,understand</t>
  </si>
  <si>
    <t>tesla,masterplan  read,tesla</t>
  </si>
  <si>
    <t>variation,mentioned  depicted,seasonal  seasonal,variation  wind,solar  solar,useless  mentioned,producing  useless,depicted</t>
  </si>
  <si>
    <t>interesting,hard  interested,geothermal  benefits,wind  wind,solar  nuclear,interested  solar,domestic  geothermal,episode  domestic,nuclear  hard,benefits</t>
  </si>
  <si>
    <t>substituting,gas  solar,transformed  batteries,question  problem,substituting  left,undressed  thermal,power  think,left  gas,powered  question,technologies  electricity,moment</t>
  </si>
  <si>
    <t>wind,solar  base,load  fossil,fuels  energy,transition  load,power  clean,energy  energy,crisis  solar,energy  abundant,energy  energy,demand</t>
  </si>
  <si>
    <t>transition,challenges  summary,reality  excellent,summary  reality,transition</t>
  </si>
  <si>
    <t>amazing,work</t>
  </si>
  <si>
    <t>watched,episodes  well,presented  forums,continue  episodes,informative  shared,forums  informative,well  presented,series  erik,watched  aware,copenhagen  concept,amazing</t>
  </si>
  <si>
    <t>waiting,produced  add,high  engines,described  series,series  movie,gashole  macro,voices  series,weekly  100,miles  high,efficiency  described,movie</t>
  </si>
  <si>
    <t>listener,weekly  podcast,climate  series,agree  achieved,efforts  docu,series  time,listener  toxic,australia  great,series  climate,change  eric,great</t>
  </si>
  <si>
    <t>planet,rest  century,leftists  erik,convince  college,macrovoices  appointment,listening  engineering,college  rest,century  change,fake  power,planet  nuclear,power</t>
  </si>
  <si>
    <t>safa,sa  environmental,governance  gravel,salt  governance,energy  wind,solar  south,australia  gov,environmental  70,renewables  battery,storage  dis,proven</t>
  </si>
  <si>
    <t>shared,network  fantastic,erik  erik,shared</t>
  </si>
  <si>
    <t>probability,biggest  love,information  team,explain  information,density  share,friends  density,short  short,simple  21,century  problem,21  simple,team</t>
  </si>
  <si>
    <t>talking,uk  long,time  right,talking  expressed,great  great,work  time,listener  government,week  eloquently,expressed  pitch,right  key,eloquently</t>
  </si>
  <si>
    <t>grid,storage  orders,magnitude  solar,panel  solar,panels  metals,mined  base,load  economies,scale  2010,2022  increase,orders  lithium,batteries</t>
  </si>
  <si>
    <t>engines,reject  listening,nonsense  oil,debunked  instance,appeared  1712,1760  peak,oil  narrator,sound  medium,minimum  heat,exhaust  sound,authoritative</t>
  </si>
  <si>
    <t>cheap,fuel  75c,khkv0o4  amazing,cheap  like,75c  10m30s,10  khkv0o4,10m30s  10,30  fuel,like</t>
  </si>
  <si>
    <t>townsend,longtime  luck,career  transformational,world  heard,actionable  economy,person  career,transition  issue,transformational  listener,show  transition,fixing  good,luck</t>
  </si>
  <si>
    <t>fact,running  produce,fuels  biofuels,algae  models,based  sustainable,solutions  well,think  like,botryococcus  chlorella,well  kerosene,recalculate  sargassum,ofcourse</t>
  </si>
  <si>
    <t>enabled,hydrogen  nuclear,enabled  fossil,fuels  fuels,search  burning,fossil  cost,decarbonising  promote,eminently  billions,millions  super,investable  solution,problems</t>
  </si>
  <si>
    <t>enjoyed,episode  episode,series</t>
  </si>
  <si>
    <t>students,world  financial,guru  school,students  viewing,high  world,series  bettering,world  dedicated,bettering  storyteller,interviewer  remarkable,storyteller  guru,dedicated</t>
  </si>
  <si>
    <t>people,unite  energy,transition  arguments,push  reasoned,arguments  push,people  well,reasoned  critical,energy  greatly,appreciate  appreciate,well  unite,critical</t>
  </si>
  <si>
    <t>enjoyed,podcast  podcast,version  mission,hopefully  contact,email  chat,help  address,support  email,address  series,email  help,kind  voices,info</t>
  </si>
  <si>
    <t>great,share  family,colleagues  friends,family  share,friends  well,great</t>
  </si>
  <si>
    <t>good,work  work,erik</t>
  </si>
  <si>
    <t>fossil,fuels  right,necessity  addiction,fossil  option,right  viable,option  fuels,viable  necessity,addiction</t>
  </si>
  <si>
    <t>cars,public  fossil,fuels  nice,hidropower  hidropower,applied  public,transport  70,energy  erik,awesome  content,brazil  huge,emphasis  brazil,nice</t>
  </si>
  <si>
    <t>lost,occur</t>
  </si>
  <si>
    <t>enjoyed,eriks  better,action  respect,drive  solutions,lurching  frustrated,reach  work,far  feeling,frustrated  faith,human  crisis,love  human,development</t>
  </si>
  <si>
    <t>well,informative</t>
  </si>
  <si>
    <t>fact,climate  zero,global  series,climate  fuel,usage  fossil,fuel  virtually,zero  warming,fossil  accepted,fact  climate,change  love,series</t>
  </si>
  <si>
    <t>work,erik  excellent,work</t>
  </si>
  <si>
    <t>delve,deep  involved,happen  series,delve  erik,awesome  happen,bravo  awesome,series  deep,involved</t>
  </si>
  <si>
    <t>brilliant,series</t>
  </si>
  <si>
    <t>episodes,nuclear  episodes,blood  nuclear,episodes  docuseries,episodes  excellent,docuseries  blood,boil</t>
  </si>
  <si>
    <t>energy,mining  shares,energy  provinces,like  liberal,bill  92,canada  oct,13  canada,emerging  coming,end  banff,alberta  mining,sector</t>
  </si>
  <si>
    <t>great,compilation  great,information  compilation,great</t>
  </si>
  <si>
    <t>super,cool  theme,music  like,theme  music,super</t>
  </si>
  <si>
    <t>lies,misinformation  propaganda,lies  part,propaganda  climate,change  change,part  greed,bring  bring,believe  misinformation,greed</t>
  </si>
  <si>
    <t>àbout,gravity  whàt,àbout</t>
  </si>
  <si>
    <t>estimations,right  75c,khkv0o4  khkv0o4,3m17s  redone,readable  readable,estimations  slide,75c  3m17s,17  right,hand  17,redone  text,left</t>
  </si>
  <si>
    <t>atta,boy</t>
  </si>
  <si>
    <t>cheers,mate</t>
  </si>
  <si>
    <t>environmental,movement  rich,hard  massive,reduction  health,lot  forget,energy  energy,sensible  believes,benefit  people,far  board,energy  afraid,lot</t>
  </si>
  <si>
    <t>opening,people  epic,genuine  future,humanity  empassioned,remain  genuine,truthsayer  remain,office  disgusted,jabbering  cost,cost  office,cost  people,disgusted</t>
  </si>
  <si>
    <t>series,politicians  politicians,present  types,facts  present,types  love,series</t>
  </si>
  <si>
    <t>unrealistic,goals  global,government  people,chance  current,flaws  policies,unrealistic  play,erik  state,play  flaws,global  government,policies  listen,spread</t>
  </si>
  <si>
    <t>ideas,time  good,ideas</t>
  </si>
  <si>
    <t>nuclear,development  asked,nuclear  states,asked  development,program</t>
  </si>
  <si>
    <t>informative,eric</t>
  </si>
  <si>
    <t>political,paradigm  fear,violence  limited,progress  paradigm,designed  fraud,obstruction  mind,mind  destroying,progress  paradigm,based  violence,threatening  dominate,humanity</t>
  </si>
  <si>
    <t>obvious,step  brown,coal  track,remembering  opposed,think  cleaner,sources  fusion,unfortunately  gt,coal  chernobyl,fukushima  germany,switched  gas,obvious</t>
  </si>
  <si>
    <t>power,pun  truth,power  pun,intended</t>
  </si>
  <si>
    <t>cheap,energy  link,cheap  western,view  base,load  dominant,western  politicians,environmental  load,energy  energy,transition  groups,focus  energy,supply</t>
  </si>
  <si>
    <t>electric,cars  cars,save  save,world  work,view  younger,generation  confident,electric  view,situation  generation,confident  world,gorgeous  gorgeous,work</t>
  </si>
  <si>
    <t>ve,waiting  wrong,help  erik,right  right,fake  valuable,erik  fake,puppets  puppets,wrong</t>
  </si>
  <si>
    <t>comprehend,gravity  role,energy  situation,continue  episode,serves  transition,crisis  eloquently,lays  emphasizing,pivotal  seeking,comprehend  understanding,urgency  indispensable,starting</t>
  </si>
  <si>
    <t>oil,gas  private,jet  documentary,series  property,tasmania  companies,erik  snake,oil  man,flying  capitalist,hedge  sale,oil  gas,short</t>
  </si>
  <si>
    <t>informed,policies  energy,mix  societal,progress  abundant,energy  incredible,breakdown  impact,energy  energy,societal  push,informed  eye,opening  mix,crucial</t>
  </si>
  <si>
    <t>power,demand  peak,power  demand,constructed  northern,europe  sunpower,norwegian  norwegian,hydropower  ramps,down  hydropower,reservoirs  windpower,northern  alot,sunpower</t>
  </si>
  <si>
    <t>magnesium,clean  brine,increasing  characteristics,varying  qualities,magnesium  coal,dust  tune,burn  plant,magnesium  powder,fine  max,clean  power,plant</t>
  </si>
  <si>
    <t>great,series</t>
  </si>
  <si>
    <t>discussions,discussions  20,discussion  discussion,discussions</t>
  </si>
  <si>
    <t>erik,macrovoices  macrovoices,listener  finally,good  listener,excellent  job,erik  good,job</t>
  </si>
  <si>
    <t>reason,transition  europe,oil  oil,gas  good,reason  well,europe  gas,good</t>
  </si>
  <si>
    <t>team,great  great,series</t>
  </si>
  <si>
    <t>analysis,energy  hear,balanced  transition,issue  energy,transition  erik,passion  balanced,analysis  good,hear</t>
  </si>
  <si>
    <t>exclusively,energy  completely,quebec  minute,21  episode,comment  resource,map  hydro,electric  electric,resource  comment,hydro  21,omitted  map,minute</t>
  </si>
  <si>
    <t>thankful,share  erik,australia  share,erik</t>
  </si>
  <si>
    <t>human,civilization  high,level  overemphasis,fundamental  clean,energy  energy,basis  real,thing  raw,materials  bad,climate  climate,change  fossil,fuel</t>
  </si>
  <si>
    <t>fossil,fuels  time,stop  nuclear,energy  pouring,resources  technologies,time  fusion,viable  terms,wean  decades,time  energy,exception  dependance,fossil</t>
  </si>
  <si>
    <t>Top Word Pairs in Comment by Salience</t>
  </si>
  <si>
    <t>nat,gas  gas,down  8000,cycles  million,miles  energy,expert  lfp,batteries  tesla,catl  mallarky,wind  12,expected  inflation,reduction</t>
  </si>
  <si>
    <t>fossil,fuels  cheap,fossil  losing,lie  wind,solar  fuels,better  unsustainable,cheap  solar,toxic  energy,wind  solution,ukraine  better,solution</t>
  </si>
  <si>
    <t>oil,production  world,gas  gas,production  saudi,arabia  world,oil  peak,fossil  oil,reserves  economical,demise  gas,exploration  dollars,spent</t>
  </si>
  <si>
    <t>carbon,dioxide  money,power  dioxide,atmosphere  total,carbon  proves,climate  scam,brainwash  man,proves  atmosphere,04  power,climate  04,man</t>
  </si>
  <si>
    <t>national,grid  fossil,fuels  50,times  existing,national  millions,millions  solar,pv  homes,buildings  transmission,costs  promoters,mass  power,trickle</t>
  </si>
  <si>
    <t>standing,stock  zone,planet  ecologically,constrained  based,ecologically  ecologically,based  habitable,zone  plants,animals  wild,plants  development,ecologically  active,participation</t>
  </si>
  <si>
    <t>2023,portugal  row,november  row,portugal  november,2023  renewable,energy  sources,expected  energy,row  renewables,2045  allowed,export  demand,840</t>
  </si>
  <si>
    <t>safa,sa  environmental,governance  governance,energy  wind,solar  gov,environmental  battery,storage  dis,proven  sa,gov  source,feed  australia,proved</t>
  </si>
  <si>
    <t>grid,storage  solar,panel  solar,panels  metals,mined  base,load  economies,scale  2010,2022  increase,orders  lithium,batteries  base,loads</t>
  </si>
  <si>
    <t>▓0▓0▓0▓True▓Black▓Black▓▓▓0▓0▓0▓0▓0▓False▓▓0▓0▓0▓0▓0▓False▓▓0▓0▓0▓True▓Black▓Black▓▓Betweenness Centrality▓0▓18663.447619▓3▓150▓1000▓False▓▓0▓0▓0▓0▓0▓False▓▓0▓0▓0▓0▓0▓False▓▓0▓0▓0▓0▓0▓False</t>
  </si>
  <si>
    <t xml:space="preserve">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&lt;value&gt;GroupDoNotHide, All&lt;/value&gt;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touve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BrandesFastCentralities, OverallMetrics, GroupMetrics, TopNBy,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t>
  </si>
  <si>
    <t>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
▓TextColumnName░Comment▓CountByGroup░True▓SkipSingleTerms░True▓WordsToSkip░0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t>
  </si>
  <si>
    <t>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t>
  </si>
  <si>
    <t xml:space="preserve">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t>
  </si>
  <si>
    <t>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t>
  </si>
  <si>
    <t xml:space="preserve">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t>
  </si>
  <si>
    <t>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t>
  </si>
  <si>
    <t>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t>
  </si>
  <si>
    <t>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t>
  </si>
  <si>
    <t>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t>
  </si>
  <si>
    <t xml:space="preserve">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t>
  </si>
  <si>
    <t>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t>
  </si>
  <si>
    <t>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t>
  </si>
  <si>
    <t xml:space="preserve">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&lt;value&gt;D:\NodeXL\_touve&lt;/value&gt;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&lt;value&gt;Group&lt;/value&gt;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Solid Square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name="Ed&amp;#xA;geStyleDetails" serializeAs="String"&gt;
        &lt;value&gt;GreaterThan 1 Dash Dot Dot Solid&lt;/value&gt;
      &lt;/setting&gt;
     </t>
  </si>
  <si>
    <t xml:space="preserve">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&lt;value&gt;True&lt;/value&gt;
      &lt;/setting&gt;
      &lt;setting name="EdgeStyleDetails" serializeAs="String"&gt;
        &lt;value&gt;GreaterThan 0 Solid Dash&lt;/value&gt;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&lt;value&gt;False&lt;/value&gt;
      &lt;/setting&gt;
      &lt;setting name="ShowGraphLegend" serializeAs="String"&gt;
        &lt;value&gt;False&lt;/value&gt;
      &lt;/setting&gt;
      &lt;setting name="ShowGraphAxes" serializeAs="String"&gt;
        &lt;value&gt;False&lt;/value&gt;
      &lt;/setting&gt;
      &lt;setting name="ReadVertexLabels" serializeAs="String"&gt;
        &lt;value&gt;False&lt;/value&gt;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
  </si>
  <si>
    <t>https://nodexlgraphgallery.org/Pages/Graph.aspx?graphID=294363</t>
  </si>
  <si>
    <t>https://nodexlgraphgallery.org/Images/Image.ashx?graphID=294363&amp;type=f</t>
  </si>
  <si>
    <t>ting name="RelativeArrowSize" serializeAs="String"&gt;
        &lt;value&gt;3&lt;/value&gt;
      &lt;/setting&gt;
      &lt;setting name="VertexImageSize" serializeAs="String"&gt;
        &lt;value&gt;10&lt;/value&gt;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</si>
</sst>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0" borderId="7" xfId="22" applyNumberFormat="1" applyFont="1" applyBorder="1" applyAlignment="1">
      <alignment/>
    </xf>
    <xf numFmtId="0" fontId="0" fillId="3" borderId="1" xfId="23"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67" fontId="0" fillId="4" borderId="1" xfId="24" applyNumberFormat="1" applyFont="1" applyBorder="1" applyAlignment="1">
      <alignment/>
    </xf>
    <xf numFmtId="0" fontId="0" fillId="0" borderId="7" xfId="0"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2" defaultPivotStyle="PivotStyleLight16">
    <tableStyle name="MySqlDefault" pivot="0" table="0" count="2">
      <tableStyleElement type="wholeTable" dxfId="272"/>
      <tableStyleElement type="headerRow" dxfId="271"/>
    </tableStyle>
    <tableStyle name="NodeXL Table" pivot="0" count="1">
      <tableStyleElement type="headerRow" dxfId="2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31091"/>
        <c:axId val="58270956"/>
      </c:barChart>
      <c:catAx>
        <c:axId val="139310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270956"/>
        <c:crosses val="autoZero"/>
        <c:auto val="1"/>
        <c:lblOffset val="100"/>
        <c:noMultiLvlLbl val="0"/>
      </c:catAx>
      <c:valAx>
        <c:axId val="5827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1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76557"/>
        <c:axId val="22326966"/>
      </c:barChart>
      <c:catAx>
        <c:axId val="546765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26966"/>
        <c:crosses val="autoZero"/>
        <c:auto val="1"/>
        <c:lblOffset val="100"/>
        <c:noMultiLvlLbl val="0"/>
      </c:catAx>
      <c:valAx>
        <c:axId val="22326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6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24967"/>
        <c:axId val="63653792"/>
      </c:barChart>
      <c:catAx>
        <c:axId val="667249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53792"/>
        <c:crosses val="autoZero"/>
        <c:auto val="1"/>
        <c:lblOffset val="100"/>
        <c:noMultiLvlLbl val="0"/>
      </c:catAx>
      <c:valAx>
        <c:axId val="63653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013217"/>
        <c:axId val="55683498"/>
      </c:barChart>
      <c:catAx>
        <c:axId val="36013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83498"/>
        <c:crosses val="autoZero"/>
        <c:auto val="1"/>
        <c:lblOffset val="100"/>
        <c:noMultiLvlLbl val="0"/>
      </c:catAx>
      <c:valAx>
        <c:axId val="55683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13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389435"/>
        <c:axId val="14069460"/>
      </c:barChart>
      <c:catAx>
        <c:axId val="31389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69460"/>
        <c:crosses val="autoZero"/>
        <c:auto val="1"/>
        <c:lblOffset val="100"/>
        <c:noMultiLvlLbl val="0"/>
      </c:catAx>
      <c:valAx>
        <c:axId val="14069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8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516277"/>
        <c:axId val="65884446"/>
      </c:barChart>
      <c:catAx>
        <c:axId val="595162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884446"/>
        <c:crosses val="autoZero"/>
        <c:auto val="1"/>
        <c:lblOffset val="100"/>
        <c:noMultiLvlLbl val="0"/>
      </c:catAx>
      <c:valAx>
        <c:axId val="6588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16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089103"/>
        <c:axId val="35039880"/>
      </c:barChart>
      <c:catAx>
        <c:axId val="560891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39880"/>
        <c:crosses val="autoZero"/>
        <c:auto val="1"/>
        <c:lblOffset val="100"/>
        <c:noMultiLvlLbl val="0"/>
      </c:catAx>
      <c:valAx>
        <c:axId val="35039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89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23465"/>
        <c:axId val="19658002"/>
      </c:barChart>
      <c:catAx>
        <c:axId val="469234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58002"/>
        <c:crosses val="autoZero"/>
        <c:auto val="1"/>
        <c:lblOffset val="100"/>
        <c:noMultiLvlLbl val="0"/>
      </c:catAx>
      <c:valAx>
        <c:axId val="1965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3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704291"/>
        <c:axId val="48794300"/>
      </c:barChart>
      <c:catAx>
        <c:axId val="42704291"/>
        <c:scaling>
          <c:orientation val="minMax"/>
        </c:scaling>
        <c:axPos val="b"/>
        <c:delete val="1"/>
        <c:majorTickMark val="out"/>
        <c:minorTickMark val="none"/>
        <c:tickLblPos val="none"/>
        <c:crossAx val="48794300"/>
        <c:crosses val="autoZero"/>
        <c:auto val="1"/>
        <c:lblOffset val="100"/>
        <c:noMultiLvlLbl val="0"/>
      </c:catAx>
      <c:valAx>
        <c:axId val="48794300"/>
        <c:scaling>
          <c:orientation val="minMax"/>
        </c:scaling>
        <c:axPos val="l"/>
        <c:delete val="1"/>
        <c:majorTickMark val="out"/>
        <c:minorTickMark val="none"/>
        <c:tickLblPos val="none"/>
        <c:crossAx val="427042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F790" totalsRowShown="0" headerRowDxfId="269" dataDxfId="268">
  <autoFilter ref="A2:AF790"/>
  <tableColumns count="32">
    <tableColumn id="1" name="Vertex 1" dataDxfId="267"/>
    <tableColumn id="2" name="Vertex 2" dataDxfId="266"/>
    <tableColumn id="3" name="Color" dataDxfId="265"/>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257"/>
    <tableColumn id="7" name="ID" dataDxfId="256"/>
    <tableColumn id="9" name="Dynamic Filter" dataDxfId="255"/>
    <tableColumn id="8" name="Add Your Own Columns Here" dataDxfId="254"/>
    <tableColumn id="15" name="Relationship" dataDxfId="253"/>
    <tableColumn id="16" name="Comment Type" dataDxfId="252"/>
    <tableColumn id="17" name="Comment" dataDxfId="251"/>
    <tableColumn id="18" name="Author Channel ID" dataDxfId="250"/>
    <tableColumn id="19" name="Author Display Name" dataDxfId="249"/>
    <tableColumn id="20" name="Author Channel URL" dataDxfId="248"/>
    <tableColumn id="21" name="Parent ID" dataDxfId="247"/>
    <tableColumn id="22" name="Video ID" dataDxfId="246"/>
    <tableColumn id="23" name="Video URL" dataDxfId="245"/>
    <tableColumn id="24" name="Viewer Rating" dataDxfId="244"/>
    <tableColumn id="25" name="Like Count" dataDxfId="243"/>
    <tableColumn id="26" name="Published At" dataDxfId="242"/>
    <tableColumn id="27" name="Updated At" dataDxfId="241"/>
    <tableColumn id="28" name="URLs In Comment" dataDxfId="240"/>
    <tableColumn id="29" name="Domains In Comment" dataDxfId="239"/>
    <tableColumn id="30" name="Hashtags In Comment" dataDxfId="238"/>
    <tableColumn id="31" name="Vertex 1 Group" dataDxfId="237">
      <calculatedColumnFormula>REPLACE(INDEX(GroupVertices[Group], MATCH("~"&amp;Edges[[#This Row],[Vertex 1]],GroupVertices[Vertex],0)),1,1,"")</calculatedColumnFormula>
    </tableColumn>
    <tableColumn id="32" name="Vertex 2 Group" dataDxfId="2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122" dataDxfId="121">
  <autoFilter ref="A2:C23"/>
  <tableColumns count="3">
    <tableColumn id="1" name="Group 1" dataDxfId="120"/>
    <tableColumn id="2" name="Group 2" dataDxfId="119"/>
    <tableColumn id="3" name="Edges" dataDxfId="118"/>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17" dataDxfId="116">
  <autoFilter ref="A1:B7"/>
  <tableColumns count="2">
    <tableColumn id="1" name="Key" dataDxfId="115"/>
    <tableColumn id="2" name="Value" dataDxfId="114"/>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13" dataDxfId="112">
  <autoFilter ref="A1:B11"/>
  <tableColumns count="2">
    <tableColumn id="1" name="Top 10 Vertices, Ranked by Betweenness Centrality" dataDxfId="111"/>
    <tableColumn id="2" name="Betweenness Centrality" dataDxfId="110"/>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09" dataDxfId="108">
  <autoFilter ref="A1:T11"/>
  <tableColumns count="20">
    <tableColumn id="1" name="Top URLs In Comment in Entire Graph" dataDxfId="107"/>
    <tableColumn id="2" name="Entire Graph Count" dataDxfId="106"/>
    <tableColumn id="3" name="Top URLs In Comment in G1" dataDxfId="105"/>
    <tableColumn id="4" name="G1 Count" dataDxfId="104"/>
    <tableColumn id="5" name="Top URLs In Comment in G2" dataDxfId="103"/>
    <tableColumn id="6" name="G2 Count" dataDxfId="102"/>
    <tableColumn id="7" name="Top URLs In Comment in G3" dataDxfId="101"/>
    <tableColumn id="8" name="G3 Count" dataDxfId="100"/>
    <tableColumn id="9" name="Top URLs In Comment in G4" dataDxfId="99"/>
    <tableColumn id="10" name="G4 Count" dataDxfId="98"/>
    <tableColumn id="11" name="Top URLs In Comment in G5" dataDxfId="97"/>
    <tableColumn id="12" name="G5 Count" dataDxfId="96"/>
    <tableColumn id="13" name="Top URLs In Comment in G6" dataDxfId="95"/>
    <tableColumn id="14" name="G6 Count" dataDxfId="94"/>
    <tableColumn id="15" name="Top URLs In Comment in G7" dataDxfId="93"/>
    <tableColumn id="16" name="G7 Count" dataDxfId="92"/>
    <tableColumn id="17" name="Top URLs In Comment in G8" dataDxfId="91"/>
    <tableColumn id="18" name="G8 Count" dataDxfId="90"/>
    <tableColumn id="19" name="Top URLs In Comment in G9" dataDxfId="89"/>
    <tableColumn id="20" name="G9 Count" dataDxfId="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2" totalsRowShown="0" headerRowDxfId="87" dataDxfId="86">
  <autoFilter ref="A14:T22"/>
  <tableColumns count="20">
    <tableColumn id="1" name="Top Domains In Comment in Entire Graph" dataDxfId="85"/>
    <tableColumn id="2" name="Entire Graph Count" dataDxfId="84"/>
    <tableColumn id="3" name="Top Domains In Comment in G1" dataDxfId="83"/>
    <tableColumn id="4" name="G1 Count" dataDxfId="82"/>
    <tableColumn id="5" name="Top Domains In Comment in G2" dataDxfId="81"/>
    <tableColumn id="6" name="G2 Count" dataDxfId="80"/>
    <tableColumn id="7" name="Top Domains In Comment in G3" dataDxfId="79"/>
    <tableColumn id="8" name="G3 Count" dataDxfId="78"/>
    <tableColumn id="9" name="Top Domains In Comment in G4" dataDxfId="77"/>
    <tableColumn id="10" name="G4 Count" dataDxfId="76"/>
    <tableColumn id="11" name="Top Domains In Comment in G5" dataDxfId="75"/>
    <tableColumn id="12" name="G5 Count" dataDxfId="74"/>
    <tableColumn id="13" name="Top Domains In Comment in G6" dataDxfId="73"/>
    <tableColumn id="14" name="G6 Count" dataDxfId="72"/>
    <tableColumn id="15" name="Top Domains In Comment in G7" dataDxfId="71"/>
    <tableColumn id="16" name="G7 Count" dataDxfId="70"/>
    <tableColumn id="17" name="Top Domains In Comment in G8" dataDxfId="69"/>
    <tableColumn id="18" name="G8 Count" dataDxfId="68"/>
    <tableColumn id="19" name="Top Domains In Comment in G9" dataDxfId="67"/>
    <tableColumn id="20" name="G9 Count" dataDxfId="66"/>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5:T26" totalsRowShown="0" headerRowDxfId="65" dataDxfId="64">
  <autoFilter ref="A25:T26"/>
  <tableColumns count="20">
    <tableColumn id="1" name="Top Hashtags In Comment in Entire Graph" dataDxfId="63"/>
    <tableColumn id="2" name="Entire Graph Count" dataDxfId="62"/>
    <tableColumn id="3" name="Top Hashtags In Comment in G1" dataDxfId="61"/>
    <tableColumn id="4" name="G1 Count" dataDxfId="60"/>
    <tableColumn id="5" name="Top Hashtags In Comment in G2" dataDxfId="59"/>
    <tableColumn id="6" name="G2 Count" dataDxfId="58"/>
    <tableColumn id="7" name="Top Hashtags In Comment in G3" dataDxfId="57"/>
    <tableColumn id="8" name="G3 Count" dataDxfId="56"/>
    <tableColumn id="9" name="Top Hashtags In Comment in G4" dataDxfId="55"/>
    <tableColumn id="10" name="G4 Count" dataDxfId="54"/>
    <tableColumn id="11" name="Top Hashtags In Comment in G5" dataDxfId="53"/>
    <tableColumn id="12" name="G5 Count" dataDxfId="52"/>
    <tableColumn id="13" name="Top Hashtags In Comment in G6" dataDxfId="51"/>
    <tableColumn id="14" name="G6 Count" dataDxfId="50"/>
    <tableColumn id="15" name="Top Hashtags In Comment in G7" dataDxfId="49"/>
    <tableColumn id="16" name="G7 Count" dataDxfId="48"/>
    <tableColumn id="17" name="Top Hashtags In Comment in G8" dataDxfId="47"/>
    <tableColumn id="18" name="G8 Count" dataDxfId="46"/>
    <tableColumn id="19" name="Top Hashtags In Comment in G9" dataDxfId="45"/>
    <tableColumn id="20" name="G9 Count" dataDxfId="44"/>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8:T38" totalsRowShown="0" headerRowDxfId="43" dataDxfId="42">
  <autoFilter ref="A28:T38"/>
  <tableColumns count="20">
    <tableColumn id="1" name="Top Words in Comment in Entire Graph" dataDxfId="41"/>
    <tableColumn id="2" name="Entire Graph Count" dataDxfId="40"/>
    <tableColumn id="3" name="Top Words in Comment in G1" dataDxfId="39"/>
    <tableColumn id="4" name="G1 Count" dataDxfId="38"/>
    <tableColumn id="5" name="Top Words in Comment in G2" dataDxfId="37"/>
    <tableColumn id="6" name="G2 Count" dataDxfId="36"/>
    <tableColumn id="7" name="Top Words in Comment in G3" dataDxfId="35"/>
    <tableColumn id="8" name="G3 Count" dataDxfId="34"/>
    <tableColumn id="9" name="Top Words in Comment in G4" dataDxfId="33"/>
    <tableColumn id="10" name="G4 Count" dataDxfId="32"/>
    <tableColumn id="11" name="Top Words in Comment in G5" dataDxfId="31"/>
    <tableColumn id="12" name="G5 Count" dataDxfId="30"/>
    <tableColumn id="13" name="Top Words in Comment in G6" dataDxfId="29"/>
    <tableColumn id="14" name="G6 Count" dataDxfId="28"/>
    <tableColumn id="15" name="Top Words in Comment in G7" dataDxfId="27"/>
    <tableColumn id="16" name="G7 Count" dataDxfId="26"/>
    <tableColumn id="17" name="Top Words in Comment in G8" dataDxfId="25"/>
    <tableColumn id="18" name="G8 Count" dataDxfId="24"/>
    <tableColumn id="19" name="Top Words in Comment in G9" dataDxfId="23"/>
    <tableColumn id="20" name="G9 Count" dataDxfId="22"/>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1:T51" totalsRowShown="0" headerRowDxfId="21" dataDxfId="20">
  <autoFilter ref="A41:T51"/>
  <tableColumns count="20">
    <tableColumn id="1" name="Top Word Pairs in Comment in Entire Graph" dataDxfId="19"/>
    <tableColumn id="2" name="Entire Graph Count" dataDxfId="18"/>
    <tableColumn id="3" name="Top Word Pairs in Comment in G1" dataDxfId="17"/>
    <tableColumn id="4" name="G1 Count" dataDxfId="16"/>
    <tableColumn id="5" name="Top Word Pairs in Comment in G2" dataDxfId="15"/>
    <tableColumn id="6" name="G2 Count" dataDxfId="14"/>
    <tableColumn id="7" name="Top Word Pairs in Comment in G3" dataDxfId="13"/>
    <tableColumn id="8" name="G3 Count" dataDxfId="12"/>
    <tableColumn id="9" name="Top Word Pairs in Comment in G4" dataDxfId="11"/>
    <tableColumn id="10" name="G4 Count" dataDxfId="10"/>
    <tableColumn id="11" name="Top Word Pairs in Comment in G5" dataDxfId="9"/>
    <tableColumn id="12" name="G5 Count" dataDxfId="8"/>
    <tableColumn id="13" name="Top Word Pairs in Comment in G6" dataDxfId="7"/>
    <tableColumn id="14" name="G6 Count" dataDxfId="6"/>
    <tableColumn id="15" name="Top Word Pairs in Comment in G7" dataDxfId="5"/>
    <tableColumn id="16" name="G7 Count" dataDxfId="4"/>
    <tableColumn id="17" name="Top Word Pairs in Comment in G8" dataDxfId="3"/>
    <tableColumn id="18" name="G8 Count" dataDxfId="2"/>
    <tableColumn id="19" name="Top Word Pairs in Comment in G9" dataDxfId="1"/>
    <tableColumn id="20" name="G9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E702" totalsRowShown="0" headerRowDxfId="235" dataDxfId="234">
  <autoFilter ref="A2:BE702"/>
  <sortState ref="A3:BE700">
    <sortCondition descending="1" sortBy="value" ref="U3:U700"/>
  </sortState>
  <tableColumns count="57">
    <tableColumn id="1" name="Vertex" dataDxfId="233"/>
    <tableColumn id="2" name="Color" dataDxfId="232"/>
    <tableColumn id="5" name="Shape" dataDxfId="231"/>
    <tableColumn id="6" name="Size" dataDxfId="230"/>
    <tableColumn id="4" name="Opacity" dataDxfId="229"/>
    <tableColumn id="7" name="Image File" dataDxfId="228"/>
    <tableColumn id="3" name="Visibility" dataDxfId="227"/>
    <tableColumn id="10" name="Label" dataDxfId="226"/>
    <tableColumn id="16" name="Label Fill Color" dataDxfId="225"/>
    <tableColumn id="9" name="Label Position" dataDxfId="224"/>
    <tableColumn id="8" name="Tooltip" dataDxfId="223"/>
    <tableColumn id="18" name="Layout Order" dataDxfId="222"/>
    <tableColumn id="13" name="X" dataDxfId="221"/>
    <tableColumn id="14" name="Y" dataDxfId="220"/>
    <tableColumn id="12" name="Locked?" dataDxfId="219"/>
    <tableColumn id="19" name="Polar R" dataDxfId="218"/>
    <tableColumn id="20" name="Polar Angle" dataDxfId="217"/>
    <tableColumn id="21" name="Degree" dataDxfId="216"/>
    <tableColumn id="22" name="In-Degree" dataDxfId="215"/>
    <tableColumn id="23" name="Out-Degree" dataDxfId="214"/>
    <tableColumn id="24" name="Betweenness Centrality" dataDxfId="213"/>
    <tableColumn id="25" name="Closeness Centrality" dataDxfId="212"/>
    <tableColumn id="26" name="Eigenvector Centrality" dataDxfId="211"/>
    <tableColumn id="15" name="PageRank" dataDxfId="210"/>
    <tableColumn id="27" name="Clustering Coefficient" dataDxfId="209"/>
    <tableColumn id="29" name="Reciprocated Vertex Pair Ratio" dataDxfId="208"/>
    <tableColumn id="11" name="ID" dataDxfId="207"/>
    <tableColumn id="28" name="Dynamic Filter" dataDxfId="206"/>
    <tableColumn id="17" name="Add Your Own Columns Here" dataDxfId="205"/>
    <tableColumn id="30" name="Title" dataDxfId="204"/>
    <tableColumn id="31" name="Description" dataDxfId="203"/>
    <tableColumn id="32" name="Author Channel ID" dataDxfId="202"/>
    <tableColumn id="33" name="Author Display Name" dataDxfId="201"/>
    <tableColumn id="34" name="Author Channel URL" dataDxfId="200"/>
    <tableColumn id="35" name="Custom URL" dataDxfId="199"/>
    <tableColumn id="36" name="Published At" dataDxfId="198"/>
    <tableColumn id="37" name="Thumbnail" dataDxfId="197"/>
    <tableColumn id="38" name="View Count" dataDxfId="196"/>
    <tableColumn id="39" name="Comment Count" dataDxfId="195"/>
    <tableColumn id="40" name="Subscriber Count" dataDxfId="194"/>
    <tableColumn id="41" name="Hidden Subscriber Count" dataDxfId="193"/>
    <tableColumn id="42" name="Video Count" dataDxfId="192"/>
    <tableColumn id="43" name="Content Owner" dataDxfId="191"/>
    <tableColumn id="44" name="Time Linked" dataDxfId="190"/>
    <tableColumn id="45" name="Custom Menu Item Text" dataDxfId="189"/>
    <tableColumn id="46" name="Custom Menu Item Action" dataDxfId="188"/>
    <tableColumn id="47" name="Vertex Group" dataDxfId="187">
      <calculatedColumnFormula>REPLACE(INDEX(GroupVertices[Group], MATCH("~"&amp;Vertices[[#This Row],[Vertex]],GroupVertices[Vertex],0)),1,1,"")</calculatedColumnFormula>
    </tableColumn>
    <tableColumn id="48" name="URLs In Comment by Count" dataDxfId="186"/>
    <tableColumn id="49" name="URLs In Comment by Salience" dataDxfId="185"/>
    <tableColumn id="50" name="Domains In Comment by Count" dataDxfId="184"/>
    <tableColumn id="51" name="Domains In Comment by Salience" dataDxfId="183"/>
    <tableColumn id="52" name="Hashtags In Comment by Count" dataDxfId="182"/>
    <tableColumn id="53" name="Hashtags In Comment by Salience" dataDxfId="181"/>
    <tableColumn id="54" name="Top Words in Comment by Count" dataDxfId="180"/>
    <tableColumn id="55" name="Top Words in Comment by Salience" dataDxfId="179"/>
    <tableColumn id="56" name="Top Word Pairs in Comment by Count" dataDxfId="178"/>
    <tableColumn id="57" name="Top Word Pairs in Comment by Salience" dataDxfId="177"/>
  </tableColumns>
  <tableStyleInfo name="NodeXL Table" showFirstColumn="0" showLastColumn="0" showRowStripes="0" showColumnStripes="0"/>
</table>
</file>

<file path=xl/tables/table3.xml><?xml version="1.0" encoding="utf-8"?>
<table xmlns="http://schemas.openxmlformats.org/spreadsheetml/2006/main" id="4" name="Groups" displayName="Groups" ref="A2:AC11" totalsRowShown="0" headerRowDxfId="176">
  <autoFilter ref="A2:AC11"/>
  <tableColumns count="29">
    <tableColumn id="1" name="Group" dataDxfId="175"/>
    <tableColumn id="2" name="Vertex Color" dataDxfId="174"/>
    <tableColumn id="3" name="Vertex Shape" dataDxfId="173"/>
    <tableColumn id="22" name="Visibility" dataDxfId="172"/>
    <tableColumn id="4" name="Collapsed?"/>
    <tableColumn id="18" name="Label" dataDxfId="171"/>
    <tableColumn id="20" name="Collapsed X"/>
    <tableColumn id="21" name="Collapsed Y"/>
    <tableColumn id="6" name="ID" dataDxfId="170"/>
    <tableColumn id="19" name="Collapsed Properties" dataDxfId="169"/>
    <tableColumn id="5" name="Vertices" dataDxfId="168"/>
    <tableColumn id="7" name="Unique Edges" dataDxfId="167"/>
    <tableColumn id="8" name="Edges With Duplicates" dataDxfId="166"/>
    <tableColumn id="9" name="Total Edges" dataDxfId="165"/>
    <tableColumn id="10" name="Self-Loops" dataDxfId="164"/>
    <tableColumn id="24" name="Reciprocated Vertex Pair Ratio" dataDxfId="163"/>
    <tableColumn id="25" name="Reciprocated Edge Ratio" dataDxfId="162"/>
    <tableColumn id="11" name="Connected Components" dataDxfId="161"/>
    <tableColumn id="12" name="Single-Vertex Connected Components" dataDxfId="160"/>
    <tableColumn id="13" name="Maximum Vertices in a Connected Component" dataDxfId="159"/>
    <tableColumn id="14" name="Maximum Edges in a Connected Component" dataDxfId="158"/>
    <tableColumn id="15" name="Maximum Geodesic Distance (Diameter)" dataDxfId="157"/>
    <tableColumn id="16" name="Average Geodesic Distance" dataDxfId="156"/>
    <tableColumn id="17" name="Graph Density" dataDxfId="155"/>
    <tableColumn id="23" name="Top URLs In Comment" dataDxfId="154"/>
    <tableColumn id="26" name="Top Domains In Comment" dataDxfId="153"/>
    <tableColumn id="27" name="Top Hashtags In Comment" dataDxfId="152"/>
    <tableColumn id="28" name="Top Words in Comment" dataDxfId="151"/>
    <tableColumn id="29" name="Top Word Pairs in Comment" dataDxfId="15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9" totalsRowShown="0" headerRowDxfId="149" dataDxfId="148">
  <autoFilter ref="A1:C699"/>
  <tableColumns count="3">
    <tableColumn id="1" name="Group" dataDxfId="147"/>
    <tableColumn id="2" name="Vertex" dataDxfId="146"/>
    <tableColumn id="3" name="Vertex ID" dataDxfId="14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4"/>
    <tableColumn id="2" name="Value" dataDxfId="1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42"/>
    <tableColumn id="2" name="Degree Frequency" dataDxfId="141">
      <calculatedColumnFormula>COUNTIF(Vertices[Degree], "&gt;= " &amp; D2) - COUNTIF(Vertices[Degree], "&gt;=" &amp; D3)</calculatedColumnFormula>
    </tableColumn>
    <tableColumn id="3" name="In-Degree Bin" dataDxfId="140"/>
    <tableColumn id="4" name="In-Degree Frequency" dataDxfId="139">
      <calculatedColumnFormula>COUNTIF(Vertices[In-Degree], "&gt;= " &amp; F2) - COUNTIF(Vertices[In-Degree], "&gt;=" &amp; F3)</calculatedColumnFormula>
    </tableColumn>
    <tableColumn id="5" name="Out-Degree Bin" dataDxfId="138"/>
    <tableColumn id="6" name="Out-Degree Frequency" dataDxfId="137">
      <calculatedColumnFormula>COUNTIF(Vertices[Out-Degree], "&gt;= " &amp; H2) - COUNTIF(Vertices[Out-Degree], "&gt;=" &amp; H3)</calculatedColumnFormula>
    </tableColumn>
    <tableColumn id="7" name="Betweenness Centrality Bin" dataDxfId="136"/>
    <tableColumn id="8" name="Betweenness Centrality Frequency" dataDxfId="135">
      <calculatedColumnFormula>COUNTIF(Vertices[Betweenness Centrality], "&gt;= " &amp; J2) - COUNTIF(Vertices[Betweenness Centrality], "&gt;=" &amp; J3)</calculatedColumnFormula>
    </tableColumn>
    <tableColumn id="9" name="Closeness Centrality Bin" dataDxfId="134"/>
    <tableColumn id="10" name="Closeness Centrality Frequency" dataDxfId="133">
      <calculatedColumnFormula>COUNTIF(Vertices[Closeness Centrality], "&gt;= " &amp; L2) - COUNTIF(Vertices[Closeness Centrality], "&gt;=" &amp; L3)</calculatedColumnFormula>
    </tableColumn>
    <tableColumn id="11" name="Eigenvector Centrality Bin" dataDxfId="132"/>
    <tableColumn id="12" name="Eigenvector Centrality Frequency" dataDxfId="131">
      <calculatedColumnFormula>COUNTIF(Vertices[Eigenvector Centrality], "&gt;= " &amp; N2) - COUNTIF(Vertices[Eigenvector Centrality], "&gt;=" &amp; N3)</calculatedColumnFormula>
    </tableColumn>
    <tableColumn id="18" name="PageRank Bin" dataDxfId="130"/>
    <tableColumn id="17" name="PageRank Frequency" dataDxfId="129">
      <calculatedColumnFormula>COUNTIF(Vertices[Eigenvector Centrality], "&gt;= " &amp; P2) - COUNTIF(Vertices[Eigenvector Centrality], "&gt;=" &amp; P3)</calculatedColumnFormula>
    </tableColumn>
    <tableColumn id="13" name="Clustering Coefficient Bin" dataDxfId="128"/>
    <tableColumn id="14" name="Clustering Coefficient Frequency" dataDxfId="127">
      <calculatedColumnFormula>COUNTIF(Vertices[Clustering Coefficient], "&gt;= " &amp; R2) - COUNTIF(Vertices[Clustering Coefficient], "&gt;=" &amp; R3)</calculatedColumnFormula>
    </tableColumn>
    <tableColumn id="15" name="Dynamic Filter Bin" dataDxfId="126"/>
    <tableColumn id="16" name="Dynamic Filter Frequency" dataDxfId="1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safa.sa.gov.au/environmental-s-governance/energy" TargetMode="External" /><Relationship Id="rId2" Type="http://schemas.openxmlformats.org/officeDocument/2006/relationships/hyperlink" Target="https://youtu.be/GtgaXD0Rr9g?si=aYXnyQXCB5uhyoI7" TargetMode="External" /><Relationship Id="rId3" Type="http://schemas.openxmlformats.org/officeDocument/2006/relationships/hyperlink" Target="https://www.youtube.com/watch?v=_bAfHi_rH7Y" TargetMode="External" /><Relationship Id="rId4" Type="http://schemas.openxmlformats.org/officeDocument/2006/relationships/hyperlink" Target="https://youtu.be/YbnXMv19Hck?si=BRAmhFMIqKkn0-aO" TargetMode="External" /><Relationship Id="rId5" Type="http://schemas.openxmlformats.org/officeDocument/2006/relationships/hyperlink" Target="https://www.energymonitor.ai/tech/renewables/europe-renewables-in-2022-in-five-charts-and-what-to-expect-in-2023" TargetMode="External" /><Relationship Id="rId6" Type="http://schemas.openxmlformats.org/officeDocument/2006/relationships/hyperlink" Target="https://www.cleanairalliance.org/old-and-unsafe" TargetMode="External" /><Relationship Id="rId7" Type="http://schemas.openxmlformats.org/officeDocument/2006/relationships/hyperlink" Target="https://www.youtube.com/watch?v=htoNuyYjNwg" TargetMode="External" /><Relationship Id="rId8" Type="http://schemas.openxmlformats.org/officeDocument/2006/relationships/hyperlink" Target="https://www.youtube.com/watch?v=G3GDuCF_pbI" TargetMode="External" /><Relationship Id="rId9" Type="http://schemas.openxmlformats.org/officeDocument/2006/relationships/hyperlink" Target="https://www.youtube.com/watch?v=MlTnMbGVRlw" TargetMode="External" /><Relationship Id="rId10" Type="http://schemas.openxmlformats.org/officeDocument/2006/relationships/hyperlink" Target="https://www.youtube.com/watch?v=gl2OcZpTKqE" TargetMode="External" /><Relationship Id="rId11" Type="http://schemas.openxmlformats.org/officeDocument/2006/relationships/hyperlink" Target="https://www.safa.sa.gov.au/environmental-s-governance/energy" TargetMode="External" /><Relationship Id="rId12" Type="http://schemas.openxmlformats.org/officeDocument/2006/relationships/hyperlink" Target="https://www.energymonitor.ai/tech/renewables/europe-renewables-in-2022-in-five-charts-and-what-to-expect-in-2023" TargetMode="External" /><Relationship Id="rId13" Type="http://schemas.openxmlformats.org/officeDocument/2006/relationships/hyperlink" Target="https://www.cleanairalliance.org/old-and-unsafe" TargetMode="External" /><Relationship Id="rId14" Type="http://schemas.openxmlformats.org/officeDocument/2006/relationships/hyperlink" Target="https://www.youtube.com/watch?v=htoNuyYjNwg" TargetMode="External" /><Relationship Id="rId15" Type="http://schemas.openxmlformats.org/officeDocument/2006/relationships/hyperlink" Target="https://www.youtube.com/watch?v=75c-kHKv0O4&amp;amp;t=3m17s" TargetMode="External" /><Relationship Id="rId16" Type="http://schemas.openxmlformats.org/officeDocument/2006/relationships/hyperlink" Target="https://www.youtube.com/watch?v=75c-kHKv0O4&amp;amp;t=10m30s" TargetMode="External" /><Relationship Id="rId17" Type="http://schemas.openxmlformats.org/officeDocument/2006/relationships/hyperlink" Target="http://farts.no/" TargetMode="External" /><Relationship Id="rId18" Type="http://schemas.openxmlformats.org/officeDocument/2006/relationships/hyperlink" Target="https://www.youtube.com/watch?v=yBF2fGUO5cQ&amp;amp;t=8m52s" TargetMode="External" /><Relationship Id="rId19" Type="http://schemas.openxmlformats.org/officeDocument/2006/relationships/hyperlink" Target="https://www.youtube.com/watch?v=za6dE5JrNB0&amp;amp;t=13m00s" TargetMode="External" /><Relationship Id="rId20" Type="http://schemas.openxmlformats.org/officeDocument/2006/relationships/hyperlink" Target="https://www.youtube.com/watch?v=za6dE5JrNB0&amp;amp;t=2m30s" TargetMode="External" /><Relationship Id="rId21" Type="http://schemas.openxmlformats.org/officeDocument/2006/relationships/hyperlink" Target="https://youtu.be/GtgaXD0Rr9g?si=aYXnyQXCB5uhyoI7" TargetMode="External" /><Relationship Id="rId22" Type="http://schemas.openxmlformats.org/officeDocument/2006/relationships/hyperlink" Target="https://www.youtube.com/watch?v=_bAfHi_rH7Y" TargetMode="External" /><Relationship Id="rId23" Type="http://schemas.openxmlformats.org/officeDocument/2006/relationships/hyperlink" Target="https://youtu.be/YbnXMv19Hck?si=BRAmhFMIqKkn0-aO" TargetMode="External" /><Relationship Id="rId24" Type="http://schemas.openxmlformats.org/officeDocument/2006/relationships/hyperlink" Target="http://backup.at/" TargetMode="External" /><Relationship Id="rId25" Type="http://schemas.openxmlformats.org/officeDocument/2006/relationships/hyperlink" Target="https://www.youtube.com/watch?v=FdMiVnA6Az0&amp;amp;t=10m11s" TargetMode="External" /><Relationship Id="rId26" Type="http://schemas.openxmlformats.org/officeDocument/2006/relationships/hyperlink" Target="https://www.youtube.com/watch?v=E39neWnw9AA&amp;amp;t=00m06s" TargetMode="External" /><Relationship Id="rId27" Type="http://schemas.openxmlformats.org/officeDocument/2006/relationships/hyperlink" Target="https://www.youtube.com/watch?v=E39neWnw9AA&amp;amp;t=03m32s" TargetMode="External" /><Relationship Id="rId28" Type="http://schemas.openxmlformats.org/officeDocument/2006/relationships/hyperlink" Target="https://www.youtube.com/watch?v=E39neWnw9AA&amp;amp;t=06m10s" TargetMode="External" /><Relationship Id="rId29" Type="http://schemas.openxmlformats.org/officeDocument/2006/relationships/hyperlink" Target="https://www.youtube.com/watch?v=E39neWnw9AA&amp;amp;t=08m40s" TargetMode="External" /><Relationship Id="rId30" Type="http://schemas.openxmlformats.org/officeDocument/2006/relationships/hyperlink" Target="https://www.youtube.com/watch?v=E39neWnw9AA&amp;amp;t=11m04s" TargetMode="External" /><Relationship Id="rId31" Type="http://schemas.openxmlformats.org/officeDocument/2006/relationships/hyperlink" Target="https://www.youtube.com/watch?v=E39neWnw9AA&amp;amp;t=13m27s" TargetMode="External" /><Relationship Id="rId32" Type="http://schemas.openxmlformats.org/officeDocument/2006/relationships/hyperlink" Target="https://www.youtube.com/watch?v=E39neWnw9AA&amp;amp;t=15m47s" TargetMode="External" /><Relationship Id="rId33" Type="http://schemas.openxmlformats.org/officeDocument/2006/relationships/hyperlink" Target="https://www.youtube.com/watch?v=E39neWnw9AA&amp;amp;t=18m06s" TargetMode="External" /><Relationship Id="rId34" Type="http://schemas.openxmlformats.org/officeDocument/2006/relationships/hyperlink" Target="https://www.youtube.com/watch?v=E39neWnw9AA&amp;amp;t=2m43s" TargetMode="External" /><Relationship Id="rId35" Type="http://schemas.openxmlformats.org/officeDocument/2006/relationships/hyperlink" Target="https://www.youtube.com/watch?v=E39neWnw9AA&amp;amp;t=5m37s" TargetMode="External" /><Relationship Id="rId36" Type="http://schemas.openxmlformats.org/officeDocument/2006/relationships/hyperlink" Target="https://www.youtube.com/watch?v=UVf2Yw7uFoE&amp;amp;t=33m10s" TargetMode="External" /><Relationship Id="rId37" Type="http://schemas.openxmlformats.org/officeDocument/2006/relationships/hyperlink" Target="https://www.youtube.com/watch?v=UVf2Yw7uFoE&amp;amp;t=25m03s" TargetMode="External" /><Relationship Id="rId38" Type="http://schemas.openxmlformats.org/officeDocument/2006/relationships/hyperlink" Target="https://www.youtube.com/watch?v=G3GDuCF_pbI" TargetMode="External" /><Relationship Id="rId39" Type="http://schemas.openxmlformats.org/officeDocument/2006/relationships/hyperlink" Target="https://www.youtube.com/watch?v=MlTnMbGVRlw" TargetMode="External" /><Relationship Id="rId40" Type="http://schemas.openxmlformats.org/officeDocument/2006/relationships/hyperlink" Target="https://www.youtube.com/watch?v=gl2OcZpTKqE" TargetMode="External" /><Relationship Id="rId41" Type="http://schemas.openxmlformats.org/officeDocument/2006/relationships/hyperlink" Target="https://www.youtube.com/watch?v=KehRZMSIwSw" TargetMode="External" /><Relationship Id="rId42" Type="http://schemas.openxmlformats.org/officeDocument/2006/relationships/hyperlink" Target="https://www.youtube.com/watch?v=W0PJcRLzmdU" TargetMode="External" /><Relationship Id="rId43" Type="http://schemas.openxmlformats.org/officeDocument/2006/relationships/hyperlink" Target="https://www.youtube.com/watch?v=ic03mjYxPBc" TargetMode="External" /><Relationship Id="rId44" Type="http://schemas.openxmlformats.org/officeDocument/2006/relationships/hyperlink" Target="https://www.youtube.com/watch?v=_4OniZKnIv4" TargetMode="External" /><Relationship Id="rId45" Type="http://schemas.openxmlformats.org/officeDocument/2006/relationships/hyperlink" Target="https://www.youtube.com/watch?v=PhTynXqTdeY" TargetMode="External" /><Relationship Id="rId46" Type="http://schemas.openxmlformats.org/officeDocument/2006/relationships/hyperlink" Target="https://www.youtube.com/watch?v=ydSKmaCewo4" TargetMode="External" /><Relationship Id="rId47" Type="http://schemas.openxmlformats.org/officeDocument/2006/relationships/hyperlink" Target="https://www.youtube.com/watch?v=6qtdM6vQSvo" TargetMode="External" /><Relationship Id="rId48" Type="http://schemas.openxmlformats.org/officeDocument/2006/relationships/hyperlink" Target="https://www.youtube.com/watch?v=v2nhssPW77I&amp;amp;t=1s" TargetMode="External" /><Relationship Id="rId49" Type="http://schemas.openxmlformats.org/officeDocument/2006/relationships/hyperlink" Target="https://www.youtube.com/watch?v=5HL1BEC024g" TargetMode="External" /><Relationship Id="rId50" Type="http://schemas.openxmlformats.org/officeDocument/2006/relationships/hyperlink" Target="https://www.youtube.com/watch?v=FdMiVnA6Az0&amp;amp;t=00m00s" TargetMode="External" /><Relationship Id="rId51" Type="http://schemas.openxmlformats.org/officeDocument/2006/relationships/hyperlink" Target="https://www.youtube.com/watch?v=FdMiVnA6Az0&amp;amp;t=01m21s" TargetMode="External" /><Relationship Id="rId52" Type="http://schemas.openxmlformats.org/officeDocument/2006/relationships/hyperlink" Target="https://www.youtube.com/watch?v=FdMiVnA6Az0&amp;amp;t=02m42s" TargetMode="External" /><Relationship Id="rId53" Type="http://schemas.openxmlformats.org/officeDocument/2006/relationships/hyperlink" Target="https://www.youtube.com/watch?v=FdMiVnA6Az0&amp;amp;t=03m37s" TargetMode="External" /><Relationship Id="rId54" Type="http://schemas.openxmlformats.org/officeDocument/2006/relationships/hyperlink" Target="https://www.youtube.com/watch?v=FdMiVnA6Az0&amp;amp;t=05m01s" TargetMode="External" /><Relationship Id="rId55" Type="http://schemas.openxmlformats.org/officeDocument/2006/relationships/hyperlink" Target="https://www.youtube.com/watch?v=FdMiVnA6Az0&amp;amp;t=07m22s" TargetMode="External" /><Relationship Id="rId56" Type="http://schemas.openxmlformats.org/officeDocument/2006/relationships/hyperlink" Target="https://www.youtube.com/watch?v=FdMiVnA6Az0&amp;amp;t=09m30s" TargetMode="External" /><Relationship Id="rId57" Type="http://schemas.openxmlformats.org/officeDocument/2006/relationships/hyperlink" Target="https://www.youtube.com/watch?v=FdMiVnA6Az0&amp;amp;t=11m21s" TargetMode="Externa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customWidth="1"/>
    <col min="15" max="15" width="12.7109375" style="0" customWidth="1"/>
    <col min="16" max="17" width="12.00390625" style="0" customWidth="1"/>
    <col min="18" max="18" width="12.8515625" style="0" customWidth="1"/>
    <col min="19" max="19" width="16.421875" style="0" customWidth="1"/>
    <col min="20" max="20" width="14.28125" style="0" customWidth="1"/>
    <col min="21" max="21" width="11.421875" style="0" customWidth="1"/>
    <col min="22" max="22" width="10.8515625" style="0" customWidth="1"/>
    <col min="23" max="23" width="8.57421875" style="0" customWidth="1"/>
    <col min="24" max="24" width="9.7109375" style="0" customWidth="1"/>
    <col min="25" max="25" width="8.57421875" style="0" customWidth="1"/>
    <col min="26" max="26" width="12.140625" style="0" customWidth="1"/>
    <col min="27" max="27" width="10.8515625" style="0" customWidth="1"/>
    <col min="28" max="28" width="12.00390625" style="0" customWidth="1"/>
    <col min="29" max="29" width="13.140625" style="0" customWidth="1"/>
    <col min="30" max="30" width="13.28125" style="0" customWidth="1"/>
    <col min="31" max="32" width="11.140625" style="0" customWidth="1"/>
  </cols>
  <sheetData>
    <row r="1" spans="3:14" ht="15">
      <c r="C1" s="17" t="s">
        <v>39</v>
      </c>
      <c r="D1" s="18"/>
      <c r="E1" s="18"/>
      <c r="F1" s="18"/>
      <c r="G1" s="17"/>
      <c r="H1" s="15" t="s">
        <v>43</v>
      </c>
      <c r="I1" s="53"/>
      <c r="J1" s="53"/>
      <c r="K1" s="34" t="s">
        <v>42</v>
      </c>
      <c r="L1" s="19" t="s">
        <v>40</v>
      </c>
      <c r="M1" s="19"/>
      <c r="N1" s="16" t="s">
        <v>41</v>
      </c>
    </row>
    <row r="2" spans="1:3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3401</v>
      </c>
      <c r="AF2" s="13" t="s">
        <v>3402</v>
      </c>
    </row>
    <row r="3" spans="1:32" ht="15" customHeight="1">
      <c r="A3" s="66" t="s">
        <v>908</v>
      </c>
      <c r="B3" s="66" t="s">
        <v>899</v>
      </c>
      <c r="C3" s="67"/>
      <c r="D3" s="68"/>
      <c r="E3" s="69"/>
      <c r="F3" s="70"/>
      <c r="G3" s="67"/>
      <c r="H3" s="71"/>
      <c r="I3" s="72"/>
      <c r="J3" s="72"/>
      <c r="K3" s="35"/>
      <c r="L3" s="73">
        <v>3</v>
      </c>
      <c r="M3" s="73"/>
      <c r="N3" s="74"/>
      <c r="O3" s="81" t="s">
        <v>909</v>
      </c>
      <c r="P3" s="81" t="s">
        <v>197</v>
      </c>
      <c r="Q3" s="84" t="s">
        <v>1676</v>
      </c>
      <c r="R3" s="81" t="s">
        <v>908</v>
      </c>
      <c r="S3" s="81" t="s">
        <v>2365</v>
      </c>
      <c r="T3" s="86" t="str">
        <f>HYPERLINK("http://www.youtube.com/channel/UCu6kMy8mE6LAYTg1GQ0rxDA")</f>
        <v>http://www.youtube.com/channel/UCu6kMy8mE6LAYTg1GQ0rxDA</v>
      </c>
      <c r="U3" s="81"/>
      <c r="V3" s="81" t="s">
        <v>2366</v>
      </c>
      <c r="W3" s="86" t="str">
        <f aca="true" t="shared" si="0" ref="W3:W34">HYPERLINK("https://www.youtube.com/watch?v=sgOEGKDVvsg")</f>
        <v>https://www.youtube.com/watch?v=sgOEGKDVvsg</v>
      </c>
      <c r="X3" s="81" t="s">
        <v>2384</v>
      </c>
      <c r="Y3" s="81">
        <v>1</v>
      </c>
      <c r="Z3" s="88">
        <v>45182.63563657407</v>
      </c>
      <c r="AA3" s="88">
        <v>45182.63563657407</v>
      </c>
      <c r="AB3" s="81"/>
      <c r="AC3" s="81"/>
      <c r="AD3" s="84" t="s">
        <v>2423</v>
      </c>
      <c r="AE3" s="84" t="str">
        <f>REPLACE(INDEX(GroupVertices[Group],MATCH("~"&amp;Edges[[#This Row],[Vertex 1]],GroupVertices[Vertex],0)),1,1,"")</f>
        <v>7</v>
      </c>
      <c r="AF3" s="84" t="str">
        <f>REPLACE(INDEX(GroupVertices[Group],MATCH("~"&amp;Edges[[#This Row],[Vertex 2]],GroupVertices[Vertex],0)),1,1,"")</f>
        <v>7</v>
      </c>
    </row>
    <row r="4" spans="1:32" ht="15" customHeight="1">
      <c r="A4" s="66" t="s">
        <v>211</v>
      </c>
      <c r="B4" s="66" t="s">
        <v>899</v>
      </c>
      <c r="C4" s="67"/>
      <c r="D4" s="68"/>
      <c r="E4" s="69"/>
      <c r="F4" s="70"/>
      <c r="G4" s="67"/>
      <c r="H4" s="71"/>
      <c r="I4" s="72"/>
      <c r="J4" s="72"/>
      <c r="K4" s="35"/>
      <c r="L4" s="80">
        <v>4</v>
      </c>
      <c r="M4" s="80"/>
      <c r="N4" s="74"/>
      <c r="O4" s="82" t="s">
        <v>909</v>
      </c>
      <c r="P4" s="82" t="s">
        <v>197</v>
      </c>
      <c r="Q4" s="85" t="s">
        <v>911</v>
      </c>
      <c r="R4" s="82" t="s">
        <v>211</v>
      </c>
      <c r="S4" s="82" t="s">
        <v>1677</v>
      </c>
      <c r="T4" s="87" t="str">
        <f>HYPERLINK("http://www.youtube.com/channel/UCOR5bbNuL0BDdtWKKj4JJaw")</f>
        <v>http://www.youtube.com/channel/UCOR5bbNuL0BDdtWKKj4JJaw</v>
      </c>
      <c r="U4" s="82"/>
      <c r="V4" s="82" t="s">
        <v>2366</v>
      </c>
      <c r="W4" s="87" t="str">
        <f t="shared" si="0"/>
        <v>https://www.youtube.com/watch?v=sgOEGKDVvsg</v>
      </c>
      <c r="X4" s="82" t="s">
        <v>2384</v>
      </c>
      <c r="Y4" s="82">
        <v>0</v>
      </c>
      <c r="Z4" s="89">
        <v>45182.77159722222</v>
      </c>
      <c r="AA4" s="89">
        <v>45182.77159722222</v>
      </c>
      <c r="AB4" s="82"/>
      <c r="AC4" s="82"/>
      <c r="AD4" s="85" t="s">
        <v>2423</v>
      </c>
      <c r="AE4" s="84" t="str">
        <f>REPLACE(INDEX(GroupVertices[Group],MATCH("~"&amp;Edges[[#This Row],[Vertex 1]],GroupVertices[Vertex],0)),1,1,"")</f>
        <v>7</v>
      </c>
      <c r="AF4" s="84" t="str">
        <f>REPLACE(INDEX(GroupVertices[Group],MATCH("~"&amp;Edges[[#This Row],[Vertex 2]],GroupVertices[Vertex],0)),1,1,"")</f>
        <v>7</v>
      </c>
    </row>
    <row r="5" spans="1:32" ht="15">
      <c r="A5" s="66" t="s">
        <v>212</v>
      </c>
      <c r="B5" s="66" t="s">
        <v>899</v>
      </c>
      <c r="C5" s="67"/>
      <c r="D5" s="68"/>
      <c r="E5" s="69"/>
      <c r="F5" s="70"/>
      <c r="G5" s="67"/>
      <c r="H5" s="71"/>
      <c r="I5" s="72"/>
      <c r="J5" s="72"/>
      <c r="K5" s="35"/>
      <c r="L5" s="80">
        <v>5</v>
      </c>
      <c r="M5" s="80"/>
      <c r="N5" s="74"/>
      <c r="O5" s="82" t="s">
        <v>909</v>
      </c>
      <c r="P5" s="82" t="s">
        <v>197</v>
      </c>
      <c r="Q5" s="85" t="s">
        <v>912</v>
      </c>
      <c r="R5" s="82" t="s">
        <v>212</v>
      </c>
      <c r="S5" s="82" t="s">
        <v>1678</v>
      </c>
      <c r="T5" s="87" t="str">
        <f>HYPERLINK("http://www.youtube.com/channel/UCi5-Pht3ow3fVTJcq8GYg5Q")</f>
        <v>http://www.youtube.com/channel/UCi5-Pht3ow3fVTJcq8GYg5Q</v>
      </c>
      <c r="U5" s="82"/>
      <c r="V5" s="82" t="s">
        <v>2366</v>
      </c>
      <c r="W5" s="87" t="str">
        <f t="shared" si="0"/>
        <v>https://www.youtube.com/watch?v=sgOEGKDVvsg</v>
      </c>
      <c r="X5" s="82" t="s">
        <v>2384</v>
      </c>
      <c r="Y5" s="82">
        <v>0</v>
      </c>
      <c r="Z5" s="89">
        <v>45183.16392361111</v>
      </c>
      <c r="AA5" s="89">
        <v>45183.16392361111</v>
      </c>
      <c r="AB5" s="82"/>
      <c r="AC5" s="82"/>
      <c r="AD5" s="85" t="s">
        <v>2423</v>
      </c>
      <c r="AE5" s="84" t="str">
        <f>REPLACE(INDEX(GroupVertices[Group],MATCH("~"&amp;Edges[[#This Row],[Vertex 1]],GroupVertices[Vertex],0)),1,1,"")</f>
        <v>7</v>
      </c>
      <c r="AF5" s="84" t="str">
        <f>REPLACE(INDEX(GroupVertices[Group],MATCH("~"&amp;Edges[[#This Row],[Vertex 2]],GroupVertices[Vertex],0)),1,1,"")</f>
        <v>7</v>
      </c>
    </row>
    <row r="6" spans="1:32" ht="15">
      <c r="A6" s="66" t="s">
        <v>213</v>
      </c>
      <c r="B6" s="66" t="s">
        <v>899</v>
      </c>
      <c r="C6" s="67"/>
      <c r="D6" s="68"/>
      <c r="E6" s="69"/>
      <c r="F6" s="70"/>
      <c r="G6" s="67"/>
      <c r="H6" s="71"/>
      <c r="I6" s="72"/>
      <c r="J6" s="72"/>
      <c r="K6" s="35"/>
      <c r="L6" s="80">
        <v>6</v>
      </c>
      <c r="M6" s="80"/>
      <c r="N6" s="74"/>
      <c r="O6" s="82" t="s">
        <v>909</v>
      </c>
      <c r="P6" s="82" t="s">
        <v>197</v>
      </c>
      <c r="Q6" s="85" t="s">
        <v>913</v>
      </c>
      <c r="R6" s="82" t="s">
        <v>213</v>
      </c>
      <c r="S6" s="82" t="s">
        <v>1679</v>
      </c>
      <c r="T6" s="87" t="str">
        <f>HYPERLINK("http://www.youtube.com/channel/UCbtzibf6Cd_3XCIA11XUGzA")</f>
        <v>http://www.youtube.com/channel/UCbtzibf6Cd_3XCIA11XUGzA</v>
      </c>
      <c r="U6" s="82"/>
      <c r="V6" s="82" t="s">
        <v>2366</v>
      </c>
      <c r="W6" s="87" t="str">
        <f t="shared" si="0"/>
        <v>https://www.youtube.com/watch?v=sgOEGKDVvsg</v>
      </c>
      <c r="X6" s="82" t="s">
        <v>2384</v>
      </c>
      <c r="Y6" s="82">
        <v>2</v>
      </c>
      <c r="Z6" s="89">
        <v>45184.286631944444</v>
      </c>
      <c r="AA6" s="89">
        <v>45184.286631944444</v>
      </c>
      <c r="AB6" s="82"/>
      <c r="AC6" s="82"/>
      <c r="AD6" s="85" t="s">
        <v>2423</v>
      </c>
      <c r="AE6" s="84" t="str">
        <f>REPLACE(INDEX(GroupVertices[Group],MATCH("~"&amp;Edges[[#This Row],[Vertex 1]],GroupVertices[Vertex],0)),1,1,"")</f>
        <v>7</v>
      </c>
      <c r="AF6" s="84" t="str">
        <f>REPLACE(INDEX(GroupVertices[Group],MATCH("~"&amp;Edges[[#This Row],[Vertex 2]],GroupVertices[Vertex],0)),1,1,"")</f>
        <v>7</v>
      </c>
    </row>
    <row r="7" spans="1:32" ht="15">
      <c r="A7" s="66" t="s">
        <v>214</v>
      </c>
      <c r="B7" s="66" t="s">
        <v>899</v>
      </c>
      <c r="C7" s="67"/>
      <c r="D7" s="68"/>
      <c r="E7" s="69"/>
      <c r="F7" s="70"/>
      <c r="G7" s="67"/>
      <c r="H7" s="71"/>
      <c r="I7" s="72"/>
      <c r="J7" s="72"/>
      <c r="K7" s="35"/>
      <c r="L7" s="80">
        <v>7</v>
      </c>
      <c r="M7" s="80"/>
      <c r="N7" s="74"/>
      <c r="O7" s="82" t="s">
        <v>909</v>
      </c>
      <c r="P7" s="82" t="s">
        <v>197</v>
      </c>
      <c r="Q7" s="85" t="s">
        <v>914</v>
      </c>
      <c r="R7" s="82" t="s">
        <v>214</v>
      </c>
      <c r="S7" s="82" t="s">
        <v>1680</v>
      </c>
      <c r="T7" s="87" t="str">
        <f>HYPERLINK("http://www.youtube.com/channel/UC2Za2kvHb1GmLVdE_A2QXTg")</f>
        <v>http://www.youtube.com/channel/UC2Za2kvHb1GmLVdE_A2QXTg</v>
      </c>
      <c r="U7" s="82"/>
      <c r="V7" s="82" t="s">
        <v>2366</v>
      </c>
      <c r="W7" s="87" t="str">
        <f t="shared" si="0"/>
        <v>https://www.youtube.com/watch?v=sgOEGKDVvsg</v>
      </c>
      <c r="X7" s="82" t="s">
        <v>2384</v>
      </c>
      <c r="Y7" s="82">
        <v>1</v>
      </c>
      <c r="Z7" s="89">
        <v>45186.384050925924</v>
      </c>
      <c r="AA7" s="89">
        <v>45186.384050925924</v>
      </c>
      <c r="AB7" s="82"/>
      <c r="AC7" s="82"/>
      <c r="AD7" s="85" t="s">
        <v>2423</v>
      </c>
      <c r="AE7" s="84" t="str">
        <f>REPLACE(INDEX(GroupVertices[Group],MATCH("~"&amp;Edges[[#This Row],[Vertex 1]],GroupVertices[Vertex],0)),1,1,"")</f>
        <v>7</v>
      </c>
      <c r="AF7" s="84" t="str">
        <f>REPLACE(INDEX(GroupVertices[Group],MATCH("~"&amp;Edges[[#This Row],[Vertex 2]],GroupVertices[Vertex],0)),1,1,"")</f>
        <v>7</v>
      </c>
    </row>
    <row r="8" spans="1:32" ht="15">
      <c r="A8" s="66" t="s">
        <v>214</v>
      </c>
      <c r="B8" s="66" t="s">
        <v>899</v>
      </c>
      <c r="C8" s="67"/>
      <c r="D8" s="68"/>
      <c r="E8" s="69"/>
      <c r="F8" s="70"/>
      <c r="G8" s="67"/>
      <c r="H8" s="71"/>
      <c r="I8" s="72"/>
      <c r="J8" s="72"/>
      <c r="K8" s="35"/>
      <c r="L8" s="80">
        <v>8</v>
      </c>
      <c r="M8" s="80"/>
      <c r="N8" s="74"/>
      <c r="O8" s="82" t="s">
        <v>909</v>
      </c>
      <c r="P8" s="82" t="s">
        <v>197</v>
      </c>
      <c r="Q8" s="85" t="s">
        <v>915</v>
      </c>
      <c r="R8" s="82" t="s">
        <v>214</v>
      </c>
      <c r="S8" s="82" t="s">
        <v>1680</v>
      </c>
      <c r="T8" s="87" t="str">
        <f>HYPERLINK("http://www.youtube.com/channel/UC2Za2kvHb1GmLVdE_A2QXTg")</f>
        <v>http://www.youtube.com/channel/UC2Za2kvHb1GmLVdE_A2QXTg</v>
      </c>
      <c r="U8" s="82"/>
      <c r="V8" s="82" t="s">
        <v>2366</v>
      </c>
      <c r="W8" s="87" t="str">
        <f t="shared" si="0"/>
        <v>https://www.youtube.com/watch?v=sgOEGKDVvsg</v>
      </c>
      <c r="X8" s="82" t="s">
        <v>2384</v>
      </c>
      <c r="Y8" s="82">
        <v>2</v>
      </c>
      <c r="Z8" s="89">
        <v>45186.40195601852</v>
      </c>
      <c r="AA8" s="89">
        <v>45186.40195601852</v>
      </c>
      <c r="AB8" s="82"/>
      <c r="AC8" s="82"/>
      <c r="AD8" s="85" t="s">
        <v>2423</v>
      </c>
      <c r="AE8" s="84" t="str">
        <f>REPLACE(INDEX(GroupVertices[Group],MATCH("~"&amp;Edges[[#This Row],[Vertex 1]],GroupVertices[Vertex],0)),1,1,"")</f>
        <v>7</v>
      </c>
      <c r="AF8" s="84" t="str">
        <f>REPLACE(INDEX(GroupVertices[Group],MATCH("~"&amp;Edges[[#This Row],[Vertex 2]],GroupVertices[Vertex],0)),1,1,"")</f>
        <v>7</v>
      </c>
    </row>
    <row r="9" spans="1:32" ht="15">
      <c r="A9" s="66" t="s">
        <v>215</v>
      </c>
      <c r="B9" s="66" t="s">
        <v>899</v>
      </c>
      <c r="C9" s="67"/>
      <c r="D9" s="68"/>
      <c r="E9" s="69"/>
      <c r="F9" s="70"/>
      <c r="G9" s="67"/>
      <c r="H9" s="71"/>
      <c r="I9" s="72"/>
      <c r="J9" s="72"/>
      <c r="K9" s="35"/>
      <c r="L9" s="80">
        <v>9</v>
      </c>
      <c r="M9" s="80"/>
      <c r="N9" s="74"/>
      <c r="O9" s="82" t="s">
        <v>909</v>
      </c>
      <c r="P9" s="82" t="s">
        <v>197</v>
      </c>
      <c r="Q9" s="85" t="s">
        <v>916</v>
      </c>
      <c r="R9" s="82" t="s">
        <v>215</v>
      </c>
      <c r="S9" s="82" t="s">
        <v>1681</v>
      </c>
      <c r="T9" s="87" t="str">
        <f>HYPERLINK("http://www.youtube.com/channel/UCwnwSYoa9mjqUeDODn4HGGQ")</f>
        <v>http://www.youtube.com/channel/UCwnwSYoa9mjqUeDODn4HGGQ</v>
      </c>
      <c r="U9" s="82"/>
      <c r="V9" s="82" t="s">
        <v>2366</v>
      </c>
      <c r="W9" s="87" t="str">
        <f t="shared" si="0"/>
        <v>https://www.youtube.com/watch?v=sgOEGKDVvsg</v>
      </c>
      <c r="X9" s="82" t="s">
        <v>2384</v>
      </c>
      <c r="Y9" s="82">
        <v>1</v>
      </c>
      <c r="Z9" s="89">
        <v>45190.276354166665</v>
      </c>
      <c r="AA9" s="89">
        <v>45190.276354166665</v>
      </c>
      <c r="AB9" s="82"/>
      <c r="AC9" s="82"/>
      <c r="AD9" s="85" t="s">
        <v>2423</v>
      </c>
      <c r="AE9" s="84" t="str">
        <f>REPLACE(INDEX(GroupVertices[Group],MATCH("~"&amp;Edges[[#This Row],[Vertex 1]],GroupVertices[Vertex],0)),1,1,"")</f>
        <v>7</v>
      </c>
      <c r="AF9" s="84" t="str">
        <f>REPLACE(INDEX(GroupVertices[Group],MATCH("~"&amp;Edges[[#This Row],[Vertex 2]],GroupVertices[Vertex],0)),1,1,"")</f>
        <v>7</v>
      </c>
    </row>
    <row r="10" spans="1:32" ht="15">
      <c r="A10" s="66" t="s">
        <v>216</v>
      </c>
      <c r="B10" s="66" t="s">
        <v>899</v>
      </c>
      <c r="C10" s="67"/>
      <c r="D10" s="68"/>
      <c r="E10" s="69"/>
      <c r="F10" s="70"/>
      <c r="G10" s="67"/>
      <c r="H10" s="71"/>
      <c r="I10" s="72"/>
      <c r="J10" s="72"/>
      <c r="K10" s="35"/>
      <c r="L10" s="80">
        <v>10</v>
      </c>
      <c r="M10" s="80"/>
      <c r="N10" s="74"/>
      <c r="O10" s="82" t="s">
        <v>909</v>
      </c>
      <c r="P10" s="82" t="s">
        <v>197</v>
      </c>
      <c r="Q10" s="85" t="s">
        <v>917</v>
      </c>
      <c r="R10" s="82" t="s">
        <v>216</v>
      </c>
      <c r="S10" s="82" t="s">
        <v>1682</v>
      </c>
      <c r="T10" s="87" t="str">
        <f>HYPERLINK("http://www.youtube.com/channel/UCwFf6aCkeYUqOVUTLro1q4w")</f>
        <v>http://www.youtube.com/channel/UCwFf6aCkeYUqOVUTLro1q4w</v>
      </c>
      <c r="U10" s="82"/>
      <c r="V10" s="82" t="s">
        <v>2366</v>
      </c>
      <c r="W10" s="87" t="str">
        <f t="shared" si="0"/>
        <v>https://www.youtube.com/watch?v=sgOEGKDVvsg</v>
      </c>
      <c r="X10" s="82" t="s">
        <v>2384</v>
      </c>
      <c r="Y10" s="82">
        <v>1</v>
      </c>
      <c r="Z10" s="89">
        <v>45191.385</v>
      </c>
      <c r="AA10" s="89">
        <v>45191.385</v>
      </c>
      <c r="AB10" s="82"/>
      <c r="AC10" s="82"/>
      <c r="AD10" s="85" t="s">
        <v>2423</v>
      </c>
      <c r="AE10" s="84" t="str">
        <f>REPLACE(INDEX(GroupVertices[Group],MATCH("~"&amp;Edges[[#This Row],[Vertex 1]],GroupVertices[Vertex],0)),1,1,"")</f>
        <v>7</v>
      </c>
      <c r="AF10" s="84" t="str">
        <f>REPLACE(INDEX(GroupVertices[Group],MATCH("~"&amp;Edges[[#This Row],[Vertex 2]],GroupVertices[Vertex],0)),1,1,"")</f>
        <v>7</v>
      </c>
    </row>
    <row r="11" spans="1:32" ht="15">
      <c r="A11" s="66" t="s">
        <v>217</v>
      </c>
      <c r="B11" s="66" t="s">
        <v>899</v>
      </c>
      <c r="C11" s="67"/>
      <c r="D11" s="68"/>
      <c r="E11" s="69"/>
      <c r="F11" s="70"/>
      <c r="G11" s="67"/>
      <c r="H11" s="71"/>
      <c r="I11" s="72"/>
      <c r="J11" s="72"/>
      <c r="K11" s="35"/>
      <c r="L11" s="80">
        <v>11</v>
      </c>
      <c r="M11" s="80"/>
      <c r="N11" s="74"/>
      <c r="O11" s="82" t="s">
        <v>909</v>
      </c>
      <c r="P11" s="82" t="s">
        <v>197</v>
      </c>
      <c r="Q11" s="85" t="s">
        <v>918</v>
      </c>
      <c r="R11" s="82" t="s">
        <v>217</v>
      </c>
      <c r="S11" s="82" t="s">
        <v>1683</v>
      </c>
      <c r="T11" s="87" t="str">
        <f>HYPERLINK("http://www.youtube.com/channel/UCQctaGwmpjuRTRxg25XbFqw")</f>
        <v>http://www.youtube.com/channel/UCQctaGwmpjuRTRxg25XbFqw</v>
      </c>
      <c r="U11" s="82"/>
      <c r="V11" s="82" t="s">
        <v>2366</v>
      </c>
      <c r="W11" s="87" t="str">
        <f t="shared" si="0"/>
        <v>https://www.youtube.com/watch?v=sgOEGKDVvsg</v>
      </c>
      <c r="X11" s="82" t="s">
        <v>2384</v>
      </c>
      <c r="Y11" s="82">
        <v>0</v>
      </c>
      <c r="Z11" s="89">
        <v>45192.639189814814</v>
      </c>
      <c r="AA11" s="89">
        <v>45192.639189814814</v>
      </c>
      <c r="AB11" s="82"/>
      <c r="AC11" s="82"/>
      <c r="AD11" s="85" t="s">
        <v>2423</v>
      </c>
      <c r="AE11" s="84" t="str">
        <f>REPLACE(INDEX(GroupVertices[Group],MATCH("~"&amp;Edges[[#This Row],[Vertex 1]],GroupVertices[Vertex],0)),1,1,"")</f>
        <v>7</v>
      </c>
      <c r="AF11" s="84" t="str">
        <f>REPLACE(INDEX(GroupVertices[Group],MATCH("~"&amp;Edges[[#This Row],[Vertex 2]],GroupVertices[Vertex],0)),1,1,"")</f>
        <v>7</v>
      </c>
    </row>
    <row r="12" spans="1:32" ht="15">
      <c r="A12" s="66" t="s">
        <v>218</v>
      </c>
      <c r="B12" s="66" t="s">
        <v>899</v>
      </c>
      <c r="C12" s="67"/>
      <c r="D12" s="68"/>
      <c r="E12" s="69"/>
      <c r="F12" s="70"/>
      <c r="G12" s="67"/>
      <c r="H12" s="71"/>
      <c r="I12" s="72"/>
      <c r="J12" s="72"/>
      <c r="K12" s="35"/>
      <c r="L12" s="80">
        <v>12</v>
      </c>
      <c r="M12" s="80"/>
      <c r="N12" s="74"/>
      <c r="O12" s="82" t="s">
        <v>909</v>
      </c>
      <c r="P12" s="82" t="s">
        <v>197</v>
      </c>
      <c r="Q12" s="85" t="s">
        <v>919</v>
      </c>
      <c r="R12" s="82" t="s">
        <v>218</v>
      </c>
      <c r="S12" s="82" t="s">
        <v>1684</v>
      </c>
      <c r="T12" s="87" t="str">
        <f>HYPERLINK("http://www.youtube.com/channel/UCWtXNusqftQxTfVCZJzrnvQ")</f>
        <v>http://www.youtube.com/channel/UCWtXNusqftQxTfVCZJzrnvQ</v>
      </c>
      <c r="U12" s="82"/>
      <c r="V12" s="82" t="s">
        <v>2366</v>
      </c>
      <c r="W12" s="87" t="str">
        <f t="shared" si="0"/>
        <v>https://www.youtube.com/watch?v=sgOEGKDVvsg</v>
      </c>
      <c r="X12" s="82" t="s">
        <v>2384</v>
      </c>
      <c r="Y12" s="82">
        <v>0</v>
      </c>
      <c r="Z12" s="89">
        <v>45193.988645833335</v>
      </c>
      <c r="AA12" s="89">
        <v>45193.988645833335</v>
      </c>
      <c r="AB12" s="82"/>
      <c r="AC12" s="82"/>
      <c r="AD12" s="85" t="s">
        <v>2423</v>
      </c>
      <c r="AE12" s="84" t="str">
        <f>REPLACE(INDEX(GroupVertices[Group],MATCH("~"&amp;Edges[[#This Row],[Vertex 1]],GroupVertices[Vertex],0)),1,1,"")</f>
        <v>7</v>
      </c>
      <c r="AF12" s="84" t="str">
        <f>REPLACE(INDEX(GroupVertices[Group],MATCH("~"&amp;Edges[[#This Row],[Vertex 2]],GroupVertices[Vertex],0)),1,1,"")</f>
        <v>7</v>
      </c>
    </row>
    <row r="13" spans="1:32" ht="15">
      <c r="A13" s="66" t="s">
        <v>219</v>
      </c>
      <c r="B13" s="66" t="s">
        <v>899</v>
      </c>
      <c r="C13" s="67"/>
      <c r="D13" s="68"/>
      <c r="E13" s="69"/>
      <c r="F13" s="70"/>
      <c r="G13" s="67"/>
      <c r="H13" s="71"/>
      <c r="I13" s="72"/>
      <c r="J13" s="72"/>
      <c r="K13" s="35"/>
      <c r="L13" s="80">
        <v>13</v>
      </c>
      <c r="M13" s="80"/>
      <c r="N13" s="74"/>
      <c r="O13" s="82" t="s">
        <v>909</v>
      </c>
      <c r="P13" s="82" t="s">
        <v>197</v>
      </c>
      <c r="Q13" s="85" t="s">
        <v>920</v>
      </c>
      <c r="R13" s="82" t="s">
        <v>219</v>
      </c>
      <c r="S13" s="82" t="s">
        <v>1685</v>
      </c>
      <c r="T13" s="87" t="str">
        <f>HYPERLINK("http://www.youtube.com/channel/UCCHJwPgdvjFI99R2XgCjjkg")</f>
        <v>http://www.youtube.com/channel/UCCHJwPgdvjFI99R2XgCjjkg</v>
      </c>
      <c r="U13" s="82"/>
      <c r="V13" s="82" t="s">
        <v>2366</v>
      </c>
      <c r="W13" s="87" t="str">
        <f t="shared" si="0"/>
        <v>https://www.youtube.com/watch?v=sgOEGKDVvsg</v>
      </c>
      <c r="X13" s="82" t="s">
        <v>2384</v>
      </c>
      <c r="Y13" s="82">
        <v>0</v>
      </c>
      <c r="Z13" s="89">
        <v>45194.62170138889</v>
      </c>
      <c r="AA13" s="89">
        <v>45194.62170138889</v>
      </c>
      <c r="AB13" s="82"/>
      <c r="AC13" s="82"/>
      <c r="AD13" s="85" t="s">
        <v>2423</v>
      </c>
      <c r="AE13" s="84" t="str">
        <f>REPLACE(INDEX(GroupVertices[Group],MATCH("~"&amp;Edges[[#This Row],[Vertex 1]],GroupVertices[Vertex],0)),1,1,"")</f>
        <v>7</v>
      </c>
      <c r="AF13" s="84" t="str">
        <f>REPLACE(INDEX(GroupVertices[Group],MATCH("~"&amp;Edges[[#This Row],[Vertex 2]],GroupVertices[Vertex],0)),1,1,"")</f>
        <v>7</v>
      </c>
    </row>
    <row r="14" spans="1:32" ht="15">
      <c r="A14" s="66" t="s">
        <v>220</v>
      </c>
      <c r="B14" s="66" t="s">
        <v>899</v>
      </c>
      <c r="C14" s="67"/>
      <c r="D14" s="68"/>
      <c r="E14" s="69"/>
      <c r="F14" s="70"/>
      <c r="G14" s="67"/>
      <c r="H14" s="71"/>
      <c r="I14" s="72"/>
      <c r="J14" s="72"/>
      <c r="K14" s="35"/>
      <c r="L14" s="80">
        <v>14</v>
      </c>
      <c r="M14" s="80"/>
      <c r="N14" s="74"/>
      <c r="O14" s="82" t="s">
        <v>909</v>
      </c>
      <c r="P14" s="82" t="s">
        <v>197</v>
      </c>
      <c r="Q14" s="85" t="s">
        <v>921</v>
      </c>
      <c r="R14" s="82" t="s">
        <v>220</v>
      </c>
      <c r="S14" s="82" t="s">
        <v>1686</v>
      </c>
      <c r="T14" s="87" t="str">
        <f>HYPERLINK("http://www.youtube.com/channel/UCo3rhT0Yf7mVKzS_Nu1AYDw")</f>
        <v>http://www.youtube.com/channel/UCo3rhT0Yf7mVKzS_Nu1AYDw</v>
      </c>
      <c r="U14" s="82"/>
      <c r="V14" s="82" t="s">
        <v>2366</v>
      </c>
      <c r="W14" s="87" t="str">
        <f t="shared" si="0"/>
        <v>https://www.youtube.com/watch?v=sgOEGKDVvsg</v>
      </c>
      <c r="X14" s="82" t="s">
        <v>2384</v>
      </c>
      <c r="Y14" s="82">
        <v>0</v>
      </c>
      <c r="Z14" s="89">
        <v>45194.65571759259</v>
      </c>
      <c r="AA14" s="89">
        <v>45194.65571759259</v>
      </c>
      <c r="AB14" s="82"/>
      <c r="AC14" s="82"/>
      <c r="AD14" s="85" t="s">
        <v>2423</v>
      </c>
      <c r="AE14" s="84" t="str">
        <f>REPLACE(INDEX(GroupVertices[Group],MATCH("~"&amp;Edges[[#This Row],[Vertex 1]],GroupVertices[Vertex],0)),1,1,"")</f>
        <v>7</v>
      </c>
      <c r="AF14" s="84" t="str">
        <f>REPLACE(INDEX(GroupVertices[Group],MATCH("~"&amp;Edges[[#This Row],[Vertex 2]],GroupVertices[Vertex],0)),1,1,"")</f>
        <v>7</v>
      </c>
    </row>
    <row r="15" spans="1:32" ht="15">
      <c r="A15" s="66" t="s">
        <v>221</v>
      </c>
      <c r="B15" s="66" t="s">
        <v>899</v>
      </c>
      <c r="C15" s="67"/>
      <c r="D15" s="68"/>
      <c r="E15" s="69"/>
      <c r="F15" s="70"/>
      <c r="G15" s="67"/>
      <c r="H15" s="71"/>
      <c r="I15" s="72"/>
      <c r="J15" s="72"/>
      <c r="K15" s="35"/>
      <c r="L15" s="80">
        <v>15</v>
      </c>
      <c r="M15" s="80"/>
      <c r="N15" s="74"/>
      <c r="O15" s="82" t="s">
        <v>909</v>
      </c>
      <c r="P15" s="82" t="s">
        <v>197</v>
      </c>
      <c r="Q15" s="85" t="s">
        <v>922</v>
      </c>
      <c r="R15" s="82" t="s">
        <v>221</v>
      </c>
      <c r="S15" s="82" t="s">
        <v>1687</v>
      </c>
      <c r="T15" s="87" t="str">
        <f>HYPERLINK("http://www.youtube.com/channel/UC02YloMhXdpTsLbE6VkR03g")</f>
        <v>http://www.youtube.com/channel/UC02YloMhXdpTsLbE6VkR03g</v>
      </c>
      <c r="U15" s="82"/>
      <c r="V15" s="82" t="s">
        <v>2366</v>
      </c>
      <c r="W15" s="87" t="str">
        <f t="shared" si="0"/>
        <v>https://www.youtube.com/watch?v=sgOEGKDVvsg</v>
      </c>
      <c r="X15" s="82" t="s">
        <v>2384</v>
      </c>
      <c r="Y15" s="82">
        <v>0</v>
      </c>
      <c r="Z15" s="89">
        <v>45194.92545138889</v>
      </c>
      <c r="AA15" s="89">
        <v>45194.92545138889</v>
      </c>
      <c r="AB15" s="82"/>
      <c r="AC15" s="82"/>
      <c r="AD15" s="85" t="s">
        <v>2423</v>
      </c>
      <c r="AE15" s="84" t="str">
        <f>REPLACE(INDEX(GroupVertices[Group],MATCH("~"&amp;Edges[[#This Row],[Vertex 1]],GroupVertices[Vertex],0)),1,1,"")</f>
        <v>7</v>
      </c>
      <c r="AF15" s="84" t="str">
        <f>REPLACE(INDEX(GroupVertices[Group],MATCH("~"&amp;Edges[[#This Row],[Vertex 2]],GroupVertices[Vertex],0)),1,1,"")</f>
        <v>7</v>
      </c>
    </row>
    <row r="16" spans="1:32" ht="15">
      <c r="A16" s="66" t="s">
        <v>222</v>
      </c>
      <c r="B16" s="66" t="s">
        <v>899</v>
      </c>
      <c r="C16" s="67"/>
      <c r="D16" s="68"/>
      <c r="E16" s="69"/>
      <c r="F16" s="70"/>
      <c r="G16" s="67"/>
      <c r="H16" s="71"/>
      <c r="I16" s="72"/>
      <c r="J16" s="72"/>
      <c r="K16" s="35"/>
      <c r="L16" s="80">
        <v>16</v>
      </c>
      <c r="M16" s="80"/>
      <c r="N16" s="74"/>
      <c r="O16" s="82" t="s">
        <v>909</v>
      </c>
      <c r="P16" s="82" t="s">
        <v>197</v>
      </c>
      <c r="Q16" s="85" t="s">
        <v>923</v>
      </c>
      <c r="R16" s="82" t="s">
        <v>222</v>
      </c>
      <c r="S16" s="82" t="s">
        <v>1688</v>
      </c>
      <c r="T16" s="87" t="str">
        <f>HYPERLINK("http://www.youtube.com/channel/UCs0oKb6jfcvqSGd-Je8auEA")</f>
        <v>http://www.youtube.com/channel/UCs0oKb6jfcvqSGd-Je8auEA</v>
      </c>
      <c r="U16" s="82"/>
      <c r="V16" s="82" t="s">
        <v>2366</v>
      </c>
      <c r="W16" s="87" t="str">
        <f t="shared" si="0"/>
        <v>https://www.youtube.com/watch?v=sgOEGKDVvsg</v>
      </c>
      <c r="X16" s="82" t="s">
        <v>2384</v>
      </c>
      <c r="Y16" s="82">
        <v>1</v>
      </c>
      <c r="Z16" s="89">
        <v>45195.474641203706</v>
      </c>
      <c r="AA16" s="89">
        <v>45195.47570601852</v>
      </c>
      <c r="AB16" s="82"/>
      <c r="AC16" s="82"/>
      <c r="AD16" s="85" t="s">
        <v>2423</v>
      </c>
      <c r="AE16" s="84" t="str">
        <f>REPLACE(INDEX(GroupVertices[Group],MATCH("~"&amp;Edges[[#This Row],[Vertex 1]],GroupVertices[Vertex],0)),1,1,"")</f>
        <v>7</v>
      </c>
      <c r="AF16" s="84" t="str">
        <f>REPLACE(INDEX(GroupVertices[Group],MATCH("~"&amp;Edges[[#This Row],[Vertex 2]],GroupVertices[Vertex],0)),1,1,"")</f>
        <v>7</v>
      </c>
    </row>
    <row r="17" spans="1:32" ht="15">
      <c r="A17" s="66" t="s">
        <v>223</v>
      </c>
      <c r="B17" s="66" t="s">
        <v>899</v>
      </c>
      <c r="C17" s="67"/>
      <c r="D17" s="68"/>
      <c r="E17" s="69"/>
      <c r="F17" s="70"/>
      <c r="G17" s="67"/>
      <c r="H17" s="71"/>
      <c r="I17" s="72"/>
      <c r="J17" s="72"/>
      <c r="K17" s="35"/>
      <c r="L17" s="80">
        <v>17</v>
      </c>
      <c r="M17" s="80"/>
      <c r="N17" s="74"/>
      <c r="O17" s="82" t="s">
        <v>909</v>
      </c>
      <c r="P17" s="82" t="s">
        <v>197</v>
      </c>
      <c r="Q17" s="85" t="s">
        <v>924</v>
      </c>
      <c r="R17" s="82" t="s">
        <v>223</v>
      </c>
      <c r="S17" s="82" t="s">
        <v>1689</v>
      </c>
      <c r="T17" s="87" t="str">
        <f>HYPERLINK("http://www.youtube.com/channel/UC8_5BxlcwxZu1Ie8bJztjVQ")</f>
        <v>http://www.youtube.com/channel/UC8_5BxlcwxZu1Ie8bJztjVQ</v>
      </c>
      <c r="U17" s="82"/>
      <c r="V17" s="82" t="s">
        <v>2366</v>
      </c>
      <c r="W17" s="87" t="str">
        <f t="shared" si="0"/>
        <v>https://www.youtube.com/watch?v=sgOEGKDVvsg</v>
      </c>
      <c r="X17" s="82" t="s">
        <v>2384</v>
      </c>
      <c r="Y17" s="82">
        <v>1</v>
      </c>
      <c r="Z17" s="89">
        <v>45195.786574074074</v>
      </c>
      <c r="AA17" s="89">
        <v>45195.786574074074</v>
      </c>
      <c r="AB17" s="82"/>
      <c r="AC17" s="82"/>
      <c r="AD17" s="85" t="s">
        <v>2423</v>
      </c>
      <c r="AE17" s="84" t="str">
        <f>REPLACE(INDEX(GroupVertices[Group],MATCH("~"&amp;Edges[[#This Row],[Vertex 1]],GroupVertices[Vertex],0)),1,1,"")</f>
        <v>7</v>
      </c>
      <c r="AF17" s="84" t="str">
        <f>REPLACE(INDEX(GroupVertices[Group],MATCH("~"&amp;Edges[[#This Row],[Vertex 2]],GroupVertices[Vertex],0)),1,1,"")</f>
        <v>7</v>
      </c>
    </row>
    <row r="18" spans="1:32" ht="15">
      <c r="A18" s="66" t="s">
        <v>224</v>
      </c>
      <c r="B18" s="66" t="s">
        <v>899</v>
      </c>
      <c r="C18" s="67"/>
      <c r="D18" s="68"/>
      <c r="E18" s="69"/>
      <c r="F18" s="70"/>
      <c r="G18" s="67"/>
      <c r="H18" s="71"/>
      <c r="I18" s="72"/>
      <c r="J18" s="72"/>
      <c r="K18" s="35"/>
      <c r="L18" s="80">
        <v>18</v>
      </c>
      <c r="M18" s="80"/>
      <c r="N18" s="74"/>
      <c r="O18" s="82" t="s">
        <v>909</v>
      </c>
      <c r="P18" s="82" t="s">
        <v>197</v>
      </c>
      <c r="Q18" s="85" t="s">
        <v>925</v>
      </c>
      <c r="R18" s="82" t="s">
        <v>224</v>
      </c>
      <c r="S18" s="82" t="s">
        <v>1690</v>
      </c>
      <c r="T18" s="87" t="str">
        <f>HYPERLINK("http://www.youtube.com/channel/UCBSANExi0TPaR1NWSGDIY_Q")</f>
        <v>http://www.youtube.com/channel/UCBSANExi0TPaR1NWSGDIY_Q</v>
      </c>
      <c r="U18" s="82"/>
      <c r="V18" s="82" t="s">
        <v>2366</v>
      </c>
      <c r="W18" s="87" t="str">
        <f t="shared" si="0"/>
        <v>https://www.youtube.com/watch?v=sgOEGKDVvsg</v>
      </c>
      <c r="X18" s="82" t="s">
        <v>2384</v>
      </c>
      <c r="Y18" s="82">
        <v>0</v>
      </c>
      <c r="Z18" s="89">
        <v>45196.73836805556</v>
      </c>
      <c r="AA18" s="89">
        <v>45196.73836805556</v>
      </c>
      <c r="AB18" s="82"/>
      <c r="AC18" s="82"/>
      <c r="AD18" s="85" t="s">
        <v>2423</v>
      </c>
      <c r="AE18" s="84" t="str">
        <f>REPLACE(INDEX(GroupVertices[Group],MATCH("~"&amp;Edges[[#This Row],[Vertex 1]],GroupVertices[Vertex],0)),1,1,"")</f>
        <v>7</v>
      </c>
      <c r="AF18" s="84" t="str">
        <f>REPLACE(INDEX(GroupVertices[Group],MATCH("~"&amp;Edges[[#This Row],[Vertex 2]],GroupVertices[Vertex],0)),1,1,"")</f>
        <v>7</v>
      </c>
    </row>
    <row r="19" spans="1:32" ht="15">
      <c r="A19" s="66" t="s">
        <v>225</v>
      </c>
      <c r="B19" s="66" t="s">
        <v>899</v>
      </c>
      <c r="C19" s="67"/>
      <c r="D19" s="68"/>
      <c r="E19" s="69"/>
      <c r="F19" s="70"/>
      <c r="G19" s="67"/>
      <c r="H19" s="71"/>
      <c r="I19" s="72"/>
      <c r="J19" s="72"/>
      <c r="K19" s="35"/>
      <c r="L19" s="80">
        <v>19</v>
      </c>
      <c r="M19" s="80"/>
      <c r="N19" s="74"/>
      <c r="O19" s="82" t="s">
        <v>909</v>
      </c>
      <c r="P19" s="82" t="s">
        <v>197</v>
      </c>
      <c r="Q19" s="85" t="s">
        <v>926</v>
      </c>
      <c r="R19" s="82" t="s">
        <v>225</v>
      </c>
      <c r="S19" s="82" t="s">
        <v>1691</v>
      </c>
      <c r="T19" s="87" t="str">
        <f>HYPERLINK("http://www.youtube.com/channel/UCrnBoTO9TuOVbojI0U-NJKg")</f>
        <v>http://www.youtube.com/channel/UCrnBoTO9TuOVbojI0U-NJKg</v>
      </c>
      <c r="U19" s="82"/>
      <c r="V19" s="82" t="s">
        <v>2366</v>
      </c>
      <c r="W19" s="87" t="str">
        <f t="shared" si="0"/>
        <v>https://www.youtube.com/watch?v=sgOEGKDVvsg</v>
      </c>
      <c r="X19" s="82" t="s">
        <v>2384</v>
      </c>
      <c r="Y19" s="82">
        <v>0</v>
      </c>
      <c r="Z19" s="89">
        <v>45196.87762731482</v>
      </c>
      <c r="AA19" s="89">
        <v>45196.87762731482</v>
      </c>
      <c r="AB19" s="82"/>
      <c r="AC19" s="82"/>
      <c r="AD19" s="85" t="s">
        <v>2423</v>
      </c>
      <c r="AE19" s="84" t="str">
        <f>REPLACE(INDEX(GroupVertices[Group],MATCH("~"&amp;Edges[[#This Row],[Vertex 1]],GroupVertices[Vertex],0)),1,1,"")</f>
        <v>7</v>
      </c>
      <c r="AF19" s="84" t="str">
        <f>REPLACE(INDEX(GroupVertices[Group],MATCH("~"&amp;Edges[[#This Row],[Vertex 2]],GroupVertices[Vertex],0)),1,1,"")</f>
        <v>7</v>
      </c>
    </row>
    <row r="20" spans="1:32" ht="15">
      <c r="A20" s="66" t="s">
        <v>226</v>
      </c>
      <c r="B20" s="66" t="s">
        <v>899</v>
      </c>
      <c r="C20" s="67"/>
      <c r="D20" s="68"/>
      <c r="E20" s="69"/>
      <c r="F20" s="70"/>
      <c r="G20" s="67"/>
      <c r="H20" s="71"/>
      <c r="I20" s="72"/>
      <c r="J20" s="72"/>
      <c r="K20" s="35"/>
      <c r="L20" s="80">
        <v>20</v>
      </c>
      <c r="M20" s="80"/>
      <c r="N20" s="74"/>
      <c r="O20" s="82" t="s">
        <v>909</v>
      </c>
      <c r="P20" s="82" t="s">
        <v>197</v>
      </c>
      <c r="Q20" s="85" t="s">
        <v>927</v>
      </c>
      <c r="R20" s="82" t="s">
        <v>226</v>
      </c>
      <c r="S20" s="82" t="s">
        <v>1692</v>
      </c>
      <c r="T20" s="87" t="str">
        <f>HYPERLINK("http://www.youtube.com/channel/UCyeWPm88kJI4G2GII8CJ3RA")</f>
        <v>http://www.youtube.com/channel/UCyeWPm88kJI4G2GII8CJ3RA</v>
      </c>
      <c r="U20" s="82"/>
      <c r="V20" s="82" t="s">
        <v>2366</v>
      </c>
      <c r="W20" s="87" t="str">
        <f t="shared" si="0"/>
        <v>https://www.youtube.com/watch?v=sgOEGKDVvsg</v>
      </c>
      <c r="X20" s="82" t="s">
        <v>2384</v>
      </c>
      <c r="Y20" s="82">
        <v>0</v>
      </c>
      <c r="Z20" s="89">
        <v>45197.53303240741</v>
      </c>
      <c r="AA20" s="89">
        <v>45197.53303240741</v>
      </c>
      <c r="AB20" s="82"/>
      <c r="AC20" s="82"/>
      <c r="AD20" s="85" t="s">
        <v>2423</v>
      </c>
      <c r="AE20" s="84" t="str">
        <f>REPLACE(INDEX(GroupVertices[Group],MATCH("~"&amp;Edges[[#This Row],[Vertex 1]],GroupVertices[Vertex],0)),1,1,"")</f>
        <v>7</v>
      </c>
      <c r="AF20" s="84" t="str">
        <f>REPLACE(INDEX(GroupVertices[Group],MATCH("~"&amp;Edges[[#This Row],[Vertex 2]],GroupVertices[Vertex],0)),1,1,"")</f>
        <v>7</v>
      </c>
    </row>
    <row r="21" spans="1:32" ht="15">
      <c r="A21" s="66" t="s">
        <v>227</v>
      </c>
      <c r="B21" s="66" t="s">
        <v>899</v>
      </c>
      <c r="C21" s="67"/>
      <c r="D21" s="68"/>
      <c r="E21" s="69"/>
      <c r="F21" s="70"/>
      <c r="G21" s="67"/>
      <c r="H21" s="71"/>
      <c r="I21" s="72"/>
      <c r="J21" s="72"/>
      <c r="K21" s="35"/>
      <c r="L21" s="80">
        <v>21</v>
      </c>
      <c r="M21" s="80"/>
      <c r="N21" s="74"/>
      <c r="O21" s="82" t="s">
        <v>909</v>
      </c>
      <c r="P21" s="82" t="s">
        <v>197</v>
      </c>
      <c r="Q21" s="85" t="s">
        <v>928</v>
      </c>
      <c r="R21" s="82" t="s">
        <v>227</v>
      </c>
      <c r="S21" s="82" t="s">
        <v>1693</v>
      </c>
      <c r="T21" s="87" t="str">
        <f>HYPERLINK("http://www.youtube.com/channel/UCuDlfwYNwOn2xDARL7UswqQ")</f>
        <v>http://www.youtube.com/channel/UCuDlfwYNwOn2xDARL7UswqQ</v>
      </c>
      <c r="U21" s="82"/>
      <c r="V21" s="82" t="s">
        <v>2366</v>
      </c>
      <c r="W21" s="87" t="str">
        <f t="shared" si="0"/>
        <v>https://www.youtube.com/watch?v=sgOEGKDVvsg</v>
      </c>
      <c r="X21" s="82" t="s">
        <v>2384</v>
      </c>
      <c r="Y21" s="82">
        <v>1</v>
      </c>
      <c r="Z21" s="89">
        <v>45198.68148148148</v>
      </c>
      <c r="AA21" s="89">
        <v>45198.68148148148</v>
      </c>
      <c r="AB21" s="82"/>
      <c r="AC21" s="82"/>
      <c r="AD21" s="85" t="s">
        <v>2423</v>
      </c>
      <c r="AE21" s="84" t="str">
        <f>REPLACE(INDEX(GroupVertices[Group],MATCH("~"&amp;Edges[[#This Row],[Vertex 1]],GroupVertices[Vertex],0)),1,1,"")</f>
        <v>7</v>
      </c>
      <c r="AF21" s="84" t="str">
        <f>REPLACE(INDEX(GroupVertices[Group],MATCH("~"&amp;Edges[[#This Row],[Vertex 2]],GroupVertices[Vertex],0)),1,1,"")</f>
        <v>7</v>
      </c>
    </row>
    <row r="22" spans="1:32" ht="15">
      <c r="A22" s="66" t="s">
        <v>228</v>
      </c>
      <c r="B22" s="66" t="s">
        <v>899</v>
      </c>
      <c r="C22" s="67"/>
      <c r="D22" s="68"/>
      <c r="E22" s="69"/>
      <c r="F22" s="70"/>
      <c r="G22" s="67"/>
      <c r="H22" s="71"/>
      <c r="I22" s="72"/>
      <c r="J22" s="72"/>
      <c r="K22" s="35"/>
      <c r="L22" s="80">
        <v>22</v>
      </c>
      <c r="M22" s="80"/>
      <c r="N22" s="74"/>
      <c r="O22" s="82" t="s">
        <v>909</v>
      </c>
      <c r="P22" s="82" t="s">
        <v>197</v>
      </c>
      <c r="Q22" s="85" t="s">
        <v>929</v>
      </c>
      <c r="R22" s="82" t="s">
        <v>228</v>
      </c>
      <c r="S22" s="82" t="s">
        <v>1694</v>
      </c>
      <c r="T22" s="87" t="str">
        <f>HYPERLINK("http://www.youtube.com/channel/UCR8nQZXzi-UlgIth7iYPsLw")</f>
        <v>http://www.youtube.com/channel/UCR8nQZXzi-UlgIth7iYPsLw</v>
      </c>
      <c r="U22" s="82"/>
      <c r="V22" s="82" t="s">
        <v>2366</v>
      </c>
      <c r="W22" s="87" t="str">
        <f t="shared" si="0"/>
        <v>https://www.youtube.com/watch?v=sgOEGKDVvsg</v>
      </c>
      <c r="X22" s="82" t="s">
        <v>2384</v>
      </c>
      <c r="Y22" s="82">
        <v>2</v>
      </c>
      <c r="Z22" s="89">
        <v>45200.1453125</v>
      </c>
      <c r="AA22" s="89">
        <v>45200.1453125</v>
      </c>
      <c r="AB22" s="82"/>
      <c r="AC22" s="82"/>
      <c r="AD22" s="85" t="s">
        <v>2423</v>
      </c>
      <c r="AE22" s="84" t="str">
        <f>REPLACE(INDEX(GroupVertices[Group],MATCH("~"&amp;Edges[[#This Row],[Vertex 1]],GroupVertices[Vertex],0)),1,1,"")</f>
        <v>7</v>
      </c>
      <c r="AF22" s="84" t="str">
        <f>REPLACE(INDEX(GroupVertices[Group],MATCH("~"&amp;Edges[[#This Row],[Vertex 2]],GroupVertices[Vertex],0)),1,1,"")</f>
        <v>7</v>
      </c>
    </row>
    <row r="23" spans="1:32" ht="15">
      <c r="A23" s="66" t="s">
        <v>229</v>
      </c>
      <c r="B23" s="66" t="s">
        <v>899</v>
      </c>
      <c r="C23" s="67"/>
      <c r="D23" s="68"/>
      <c r="E23" s="69"/>
      <c r="F23" s="70"/>
      <c r="G23" s="67"/>
      <c r="H23" s="71"/>
      <c r="I23" s="72"/>
      <c r="J23" s="72"/>
      <c r="K23" s="35"/>
      <c r="L23" s="80">
        <v>23</v>
      </c>
      <c r="M23" s="80"/>
      <c r="N23" s="74"/>
      <c r="O23" s="82" t="s">
        <v>909</v>
      </c>
      <c r="P23" s="82" t="s">
        <v>197</v>
      </c>
      <c r="Q23" s="85" t="s">
        <v>930</v>
      </c>
      <c r="R23" s="82" t="s">
        <v>229</v>
      </c>
      <c r="S23" s="82" t="s">
        <v>1695</v>
      </c>
      <c r="T23" s="87" t="str">
        <f>HYPERLINK("http://www.youtube.com/channel/UCpJG6S3kmz2SG6L5f32SOnA")</f>
        <v>http://www.youtube.com/channel/UCpJG6S3kmz2SG6L5f32SOnA</v>
      </c>
      <c r="U23" s="82"/>
      <c r="V23" s="82" t="s">
        <v>2366</v>
      </c>
      <c r="W23" s="87" t="str">
        <f t="shared" si="0"/>
        <v>https://www.youtube.com/watch?v=sgOEGKDVvsg</v>
      </c>
      <c r="X23" s="82" t="s">
        <v>2384</v>
      </c>
      <c r="Y23" s="82">
        <v>0</v>
      </c>
      <c r="Z23" s="89">
        <v>45200.14980324074</v>
      </c>
      <c r="AA23" s="89">
        <v>45200.14980324074</v>
      </c>
      <c r="AB23" s="82"/>
      <c r="AC23" s="82"/>
      <c r="AD23" s="85" t="s">
        <v>2423</v>
      </c>
      <c r="AE23" s="84" t="str">
        <f>REPLACE(INDEX(GroupVertices[Group],MATCH("~"&amp;Edges[[#This Row],[Vertex 1]],GroupVertices[Vertex],0)),1,1,"")</f>
        <v>7</v>
      </c>
      <c r="AF23" s="84" t="str">
        <f>REPLACE(INDEX(GroupVertices[Group],MATCH("~"&amp;Edges[[#This Row],[Vertex 2]],GroupVertices[Vertex],0)),1,1,"")</f>
        <v>7</v>
      </c>
    </row>
    <row r="24" spans="1:32" ht="15">
      <c r="A24" s="66" t="s">
        <v>230</v>
      </c>
      <c r="B24" s="66" t="s">
        <v>899</v>
      </c>
      <c r="C24" s="67"/>
      <c r="D24" s="68"/>
      <c r="E24" s="69"/>
      <c r="F24" s="70"/>
      <c r="G24" s="67"/>
      <c r="H24" s="71"/>
      <c r="I24" s="72"/>
      <c r="J24" s="72"/>
      <c r="K24" s="35"/>
      <c r="L24" s="80">
        <v>24</v>
      </c>
      <c r="M24" s="80"/>
      <c r="N24" s="74"/>
      <c r="O24" s="82" t="s">
        <v>909</v>
      </c>
      <c r="P24" s="82" t="s">
        <v>197</v>
      </c>
      <c r="Q24" s="85" t="s">
        <v>931</v>
      </c>
      <c r="R24" s="82" t="s">
        <v>230</v>
      </c>
      <c r="S24" s="82" t="s">
        <v>1696</v>
      </c>
      <c r="T24" s="87" t="str">
        <f>HYPERLINK("http://www.youtube.com/channel/UC3suBN8-qChSFy0N2ZRlyNQ")</f>
        <v>http://www.youtube.com/channel/UC3suBN8-qChSFy0N2ZRlyNQ</v>
      </c>
      <c r="U24" s="82"/>
      <c r="V24" s="82" t="s">
        <v>2366</v>
      </c>
      <c r="W24" s="87" t="str">
        <f t="shared" si="0"/>
        <v>https://www.youtube.com/watch?v=sgOEGKDVvsg</v>
      </c>
      <c r="X24" s="82" t="s">
        <v>2384</v>
      </c>
      <c r="Y24" s="82">
        <v>0</v>
      </c>
      <c r="Z24" s="89">
        <v>45201.60089120371</v>
      </c>
      <c r="AA24" s="89">
        <v>45201.60089120371</v>
      </c>
      <c r="AB24" s="82" t="s">
        <v>2385</v>
      </c>
      <c r="AC24" s="82" t="s">
        <v>2413</v>
      </c>
      <c r="AD24" s="85" t="s">
        <v>2423</v>
      </c>
      <c r="AE24" s="84" t="str">
        <f>REPLACE(INDEX(GroupVertices[Group],MATCH("~"&amp;Edges[[#This Row],[Vertex 1]],GroupVertices[Vertex],0)),1,1,"")</f>
        <v>7</v>
      </c>
      <c r="AF24" s="84" t="str">
        <f>REPLACE(INDEX(GroupVertices[Group],MATCH("~"&amp;Edges[[#This Row],[Vertex 2]],GroupVertices[Vertex],0)),1,1,"")</f>
        <v>7</v>
      </c>
    </row>
    <row r="25" spans="1:32" ht="15">
      <c r="A25" s="66" t="s">
        <v>231</v>
      </c>
      <c r="B25" s="66" t="s">
        <v>899</v>
      </c>
      <c r="C25" s="67"/>
      <c r="D25" s="68"/>
      <c r="E25" s="69"/>
      <c r="F25" s="70"/>
      <c r="G25" s="67"/>
      <c r="H25" s="71"/>
      <c r="I25" s="72"/>
      <c r="J25" s="72"/>
      <c r="K25" s="35"/>
      <c r="L25" s="80">
        <v>25</v>
      </c>
      <c r="M25" s="80"/>
      <c r="N25" s="74"/>
      <c r="O25" s="82" t="s">
        <v>909</v>
      </c>
      <c r="P25" s="82" t="s">
        <v>197</v>
      </c>
      <c r="Q25" s="85" t="s">
        <v>932</v>
      </c>
      <c r="R25" s="82" t="s">
        <v>231</v>
      </c>
      <c r="S25" s="82" t="s">
        <v>1697</v>
      </c>
      <c r="T25" s="87" t="str">
        <f>HYPERLINK("http://www.youtube.com/channel/UCFWUi7dexG5_g8HhQL9lR_w")</f>
        <v>http://www.youtube.com/channel/UCFWUi7dexG5_g8HhQL9lR_w</v>
      </c>
      <c r="U25" s="82"/>
      <c r="V25" s="82" t="s">
        <v>2366</v>
      </c>
      <c r="W25" s="87" t="str">
        <f t="shared" si="0"/>
        <v>https://www.youtube.com/watch?v=sgOEGKDVvsg</v>
      </c>
      <c r="X25" s="82" t="s">
        <v>2384</v>
      </c>
      <c r="Y25" s="82">
        <v>1</v>
      </c>
      <c r="Z25" s="89">
        <v>45202.05805555556</v>
      </c>
      <c r="AA25" s="89">
        <v>45202.05805555556</v>
      </c>
      <c r="AB25" s="82"/>
      <c r="AC25" s="82"/>
      <c r="AD25" s="85" t="s">
        <v>2423</v>
      </c>
      <c r="AE25" s="84" t="str">
        <f>REPLACE(INDEX(GroupVertices[Group],MATCH("~"&amp;Edges[[#This Row],[Vertex 1]],GroupVertices[Vertex],0)),1,1,"")</f>
        <v>7</v>
      </c>
      <c r="AF25" s="84" t="str">
        <f>REPLACE(INDEX(GroupVertices[Group],MATCH("~"&amp;Edges[[#This Row],[Vertex 2]],GroupVertices[Vertex],0)),1,1,"")</f>
        <v>7</v>
      </c>
    </row>
    <row r="26" spans="1:32" ht="15">
      <c r="A26" s="66" t="s">
        <v>232</v>
      </c>
      <c r="B26" s="66" t="s">
        <v>899</v>
      </c>
      <c r="C26" s="67"/>
      <c r="D26" s="68"/>
      <c r="E26" s="69"/>
      <c r="F26" s="70"/>
      <c r="G26" s="67"/>
      <c r="H26" s="71"/>
      <c r="I26" s="72"/>
      <c r="J26" s="72"/>
      <c r="K26" s="35"/>
      <c r="L26" s="80">
        <v>26</v>
      </c>
      <c r="M26" s="80"/>
      <c r="N26" s="74"/>
      <c r="O26" s="82" t="s">
        <v>909</v>
      </c>
      <c r="P26" s="82" t="s">
        <v>197</v>
      </c>
      <c r="Q26" s="85" t="s">
        <v>933</v>
      </c>
      <c r="R26" s="82" t="s">
        <v>232</v>
      </c>
      <c r="S26" s="82" t="s">
        <v>1698</v>
      </c>
      <c r="T26" s="87" t="str">
        <f>HYPERLINK("http://www.youtube.com/channel/UC_mFLQSUJkPGciwaJSwzesQ")</f>
        <v>http://www.youtube.com/channel/UC_mFLQSUJkPGciwaJSwzesQ</v>
      </c>
      <c r="U26" s="82"/>
      <c r="V26" s="82" t="s">
        <v>2366</v>
      </c>
      <c r="W26" s="87" t="str">
        <f t="shared" si="0"/>
        <v>https://www.youtube.com/watch?v=sgOEGKDVvsg</v>
      </c>
      <c r="X26" s="82" t="s">
        <v>2384</v>
      </c>
      <c r="Y26" s="82">
        <v>1</v>
      </c>
      <c r="Z26" s="89">
        <v>45202.9925</v>
      </c>
      <c r="AA26" s="89">
        <v>45202.9925</v>
      </c>
      <c r="AB26" s="82"/>
      <c r="AC26" s="82"/>
      <c r="AD26" s="85" t="s">
        <v>2423</v>
      </c>
      <c r="AE26" s="84" t="str">
        <f>REPLACE(INDEX(GroupVertices[Group],MATCH("~"&amp;Edges[[#This Row],[Vertex 1]],GroupVertices[Vertex],0)),1,1,"")</f>
        <v>7</v>
      </c>
      <c r="AF26" s="84" t="str">
        <f>REPLACE(INDEX(GroupVertices[Group],MATCH("~"&amp;Edges[[#This Row],[Vertex 2]],GroupVertices[Vertex],0)),1,1,"")</f>
        <v>7</v>
      </c>
    </row>
    <row r="27" spans="1:32" ht="15">
      <c r="A27" s="66" t="s">
        <v>233</v>
      </c>
      <c r="B27" s="66" t="s">
        <v>899</v>
      </c>
      <c r="C27" s="67"/>
      <c r="D27" s="68"/>
      <c r="E27" s="69"/>
      <c r="F27" s="70"/>
      <c r="G27" s="67"/>
      <c r="H27" s="71"/>
      <c r="I27" s="72"/>
      <c r="J27" s="72"/>
      <c r="K27" s="35"/>
      <c r="L27" s="80">
        <v>27</v>
      </c>
      <c r="M27" s="80"/>
      <c r="N27" s="74"/>
      <c r="O27" s="82" t="s">
        <v>909</v>
      </c>
      <c r="P27" s="82" t="s">
        <v>197</v>
      </c>
      <c r="Q27" s="85" t="s">
        <v>934</v>
      </c>
      <c r="R27" s="82" t="s">
        <v>233</v>
      </c>
      <c r="S27" s="82" t="s">
        <v>1699</v>
      </c>
      <c r="T27" s="87" t="str">
        <f>HYPERLINK("http://www.youtube.com/channel/UCC-EgqxVX10tdLUZINlH1ag")</f>
        <v>http://www.youtube.com/channel/UCC-EgqxVX10tdLUZINlH1ag</v>
      </c>
      <c r="U27" s="82"/>
      <c r="V27" s="82" t="s">
        <v>2366</v>
      </c>
      <c r="W27" s="87" t="str">
        <f t="shared" si="0"/>
        <v>https://www.youtube.com/watch?v=sgOEGKDVvsg</v>
      </c>
      <c r="X27" s="82" t="s">
        <v>2384</v>
      </c>
      <c r="Y27" s="82">
        <v>1</v>
      </c>
      <c r="Z27" s="89">
        <v>45203.22414351852</v>
      </c>
      <c r="AA27" s="89">
        <v>45203.22414351852</v>
      </c>
      <c r="AB27" s="82"/>
      <c r="AC27" s="82"/>
      <c r="AD27" s="85" t="s">
        <v>2423</v>
      </c>
      <c r="AE27" s="84" t="str">
        <f>REPLACE(INDEX(GroupVertices[Group],MATCH("~"&amp;Edges[[#This Row],[Vertex 1]],GroupVertices[Vertex],0)),1,1,"")</f>
        <v>7</v>
      </c>
      <c r="AF27" s="84" t="str">
        <f>REPLACE(INDEX(GroupVertices[Group],MATCH("~"&amp;Edges[[#This Row],[Vertex 2]],GroupVertices[Vertex],0)),1,1,"")</f>
        <v>7</v>
      </c>
    </row>
    <row r="28" spans="1:32" ht="15">
      <c r="A28" s="66" t="s">
        <v>234</v>
      </c>
      <c r="B28" s="66" t="s">
        <v>899</v>
      </c>
      <c r="C28" s="67"/>
      <c r="D28" s="68"/>
      <c r="E28" s="69"/>
      <c r="F28" s="70"/>
      <c r="G28" s="67"/>
      <c r="H28" s="71"/>
      <c r="I28" s="72"/>
      <c r="J28" s="72"/>
      <c r="K28" s="35"/>
      <c r="L28" s="80">
        <v>28</v>
      </c>
      <c r="M28" s="80"/>
      <c r="N28" s="74"/>
      <c r="O28" s="82" t="s">
        <v>909</v>
      </c>
      <c r="P28" s="82" t="s">
        <v>197</v>
      </c>
      <c r="Q28" s="85" t="s">
        <v>935</v>
      </c>
      <c r="R28" s="82" t="s">
        <v>234</v>
      </c>
      <c r="S28" s="82" t="s">
        <v>1700</v>
      </c>
      <c r="T28" s="87" t="str">
        <f>HYPERLINK("http://www.youtube.com/channel/UCb5iYG7eeSaR7QAGBW-oT5g")</f>
        <v>http://www.youtube.com/channel/UCb5iYG7eeSaR7QAGBW-oT5g</v>
      </c>
      <c r="U28" s="82"/>
      <c r="V28" s="82" t="s">
        <v>2366</v>
      </c>
      <c r="W28" s="87" t="str">
        <f t="shared" si="0"/>
        <v>https://www.youtube.com/watch?v=sgOEGKDVvsg</v>
      </c>
      <c r="X28" s="82" t="s">
        <v>2384</v>
      </c>
      <c r="Y28" s="82">
        <v>1</v>
      </c>
      <c r="Z28" s="89">
        <v>45203.30997685185</v>
      </c>
      <c r="AA28" s="89">
        <v>45203.30997685185</v>
      </c>
      <c r="AB28" s="82"/>
      <c r="AC28" s="82"/>
      <c r="AD28" s="85" t="s">
        <v>2423</v>
      </c>
      <c r="AE28" s="84" t="str">
        <f>REPLACE(INDEX(GroupVertices[Group],MATCH("~"&amp;Edges[[#This Row],[Vertex 1]],GroupVertices[Vertex],0)),1,1,"")</f>
        <v>7</v>
      </c>
      <c r="AF28" s="84" t="str">
        <f>REPLACE(INDEX(GroupVertices[Group],MATCH("~"&amp;Edges[[#This Row],[Vertex 2]],GroupVertices[Vertex],0)),1,1,"")</f>
        <v>7</v>
      </c>
    </row>
    <row r="29" spans="1:32" ht="15">
      <c r="A29" s="66" t="s">
        <v>235</v>
      </c>
      <c r="B29" s="66" t="s">
        <v>899</v>
      </c>
      <c r="C29" s="67"/>
      <c r="D29" s="68"/>
      <c r="E29" s="69"/>
      <c r="F29" s="70"/>
      <c r="G29" s="67"/>
      <c r="H29" s="71"/>
      <c r="I29" s="72"/>
      <c r="J29" s="72"/>
      <c r="K29" s="35"/>
      <c r="L29" s="80">
        <v>29</v>
      </c>
      <c r="M29" s="80"/>
      <c r="N29" s="74"/>
      <c r="O29" s="82" t="s">
        <v>909</v>
      </c>
      <c r="P29" s="82" t="s">
        <v>197</v>
      </c>
      <c r="Q29" s="85" t="s">
        <v>936</v>
      </c>
      <c r="R29" s="82" t="s">
        <v>235</v>
      </c>
      <c r="S29" s="82" t="s">
        <v>1701</v>
      </c>
      <c r="T29" s="87" t="str">
        <f>HYPERLINK("http://www.youtube.com/channel/UCEv2sm2JJ3mT1md7jRdw2Mg")</f>
        <v>http://www.youtube.com/channel/UCEv2sm2JJ3mT1md7jRdw2Mg</v>
      </c>
      <c r="U29" s="82"/>
      <c r="V29" s="82" t="s">
        <v>2366</v>
      </c>
      <c r="W29" s="87" t="str">
        <f t="shared" si="0"/>
        <v>https://www.youtube.com/watch?v=sgOEGKDVvsg</v>
      </c>
      <c r="X29" s="82" t="s">
        <v>2384</v>
      </c>
      <c r="Y29" s="82">
        <v>0</v>
      </c>
      <c r="Z29" s="89">
        <v>45203.5155787037</v>
      </c>
      <c r="AA29" s="89">
        <v>45203.5155787037</v>
      </c>
      <c r="AB29" s="82"/>
      <c r="AC29" s="82"/>
      <c r="AD29" s="85" t="s">
        <v>2423</v>
      </c>
      <c r="AE29" s="84" t="str">
        <f>REPLACE(INDEX(GroupVertices[Group],MATCH("~"&amp;Edges[[#This Row],[Vertex 1]],GroupVertices[Vertex],0)),1,1,"")</f>
        <v>7</v>
      </c>
      <c r="AF29" s="84" t="str">
        <f>REPLACE(INDEX(GroupVertices[Group],MATCH("~"&amp;Edges[[#This Row],[Vertex 2]],GroupVertices[Vertex],0)),1,1,"")</f>
        <v>7</v>
      </c>
    </row>
    <row r="30" spans="1:32" ht="15">
      <c r="A30" s="66" t="s">
        <v>236</v>
      </c>
      <c r="B30" s="66" t="s">
        <v>899</v>
      </c>
      <c r="C30" s="67"/>
      <c r="D30" s="68"/>
      <c r="E30" s="69"/>
      <c r="F30" s="70"/>
      <c r="G30" s="67"/>
      <c r="H30" s="71"/>
      <c r="I30" s="72"/>
      <c r="J30" s="72"/>
      <c r="K30" s="35"/>
      <c r="L30" s="80">
        <v>30</v>
      </c>
      <c r="M30" s="80"/>
      <c r="N30" s="74"/>
      <c r="O30" s="82" t="s">
        <v>909</v>
      </c>
      <c r="P30" s="82" t="s">
        <v>197</v>
      </c>
      <c r="Q30" s="85" t="s">
        <v>937</v>
      </c>
      <c r="R30" s="82" t="s">
        <v>236</v>
      </c>
      <c r="S30" s="82" t="s">
        <v>1702</v>
      </c>
      <c r="T30" s="87" t="str">
        <f>HYPERLINK("http://www.youtube.com/channel/UCCUmH1l5Mc2n2BvBAc8TiiA")</f>
        <v>http://www.youtube.com/channel/UCCUmH1l5Mc2n2BvBAc8TiiA</v>
      </c>
      <c r="U30" s="82"/>
      <c r="V30" s="82" t="s">
        <v>2366</v>
      </c>
      <c r="W30" s="87" t="str">
        <f t="shared" si="0"/>
        <v>https://www.youtube.com/watch?v=sgOEGKDVvsg</v>
      </c>
      <c r="X30" s="82" t="s">
        <v>2384</v>
      </c>
      <c r="Y30" s="82">
        <v>0</v>
      </c>
      <c r="Z30" s="89">
        <v>45205.58256944444</v>
      </c>
      <c r="AA30" s="89">
        <v>45205.58256944444</v>
      </c>
      <c r="AB30" s="82"/>
      <c r="AC30" s="82"/>
      <c r="AD30" s="85" t="s">
        <v>2423</v>
      </c>
      <c r="AE30" s="84" t="str">
        <f>REPLACE(INDEX(GroupVertices[Group],MATCH("~"&amp;Edges[[#This Row],[Vertex 1]],GroupVertices[Vertex],0)),1,1,"")</f>
        <v>7</v>
      </c>
      <c r="AF30" s="84" t="str">
        <f>REPLACE(INDEX(GroupVertices[Group],MATCH("~"&amp;Edges[[#This Row],[Vertex 2]],GroupVertices[Vertex],0)),1,1,"")</f>
        <v>7</v>
      </c>
    </row>
    <row r="31" spans="1:32" ht="15">
      <c r="A31" s="66" t="s">
        <v>237</v>
      </c>
      <c r="B31" s="66" t="s">
        <v>899</v>
      </c>
      <c r="C31" s="67"/>
      <c r="D31" s="68"/>
      <c r="E31" s="69"/>
      <c r="F31" s="70"/>
      <c r="G31" s="67"/>
      <c r="H31" s="71"/>
      <c r="I31" s="72"/>
      <c r="J31" s="72"/>
      <c r="K31" s="35"/>
      <c r="L31" s="80">
        <v>31</v>
      </c>
      <c r="M31" s="80"/>
      <c r="N31" s="74"/>
      <c r="O31" s="82" t="s">
        <v>909</v>
      </c>
      <c r="P31" s="82" t="s">
        <v>197</v>
      </c>
      <c r="Q31" s="85" t="s">
        <v>938</v>
      </c>
      <c r="R31" s="82" t="s">
        <v>237</v>
      </c>
      <c r="S31" s="82" t="s">
        <v>1703</v>
      </c>
      <c r="T31" s="87" t="str">
        <f>HYPERLINK("http://www.youtube.com/channel/UCz8ck3EFdRnJlQVmjeUpXog")</f>
        <v>http://www.youtube.com/channel/UCz8ck3EFdRnJlQVmjeUpXog</v>
      </c>
      <c r="U31" s="82"/>
      <c r="V31" s="82" t="s">
        <v>2366</v>
      </c>
      <c r="W31" s="87" t="str">
        <f t="shared" si="0"/>
        <v>https://www.youtube.com/watch?v=sgOEGKDVvsg</v>
      </c>
      <c r="X31" s="82" t="s">
        <v>2384</v>
      </c>
      <c r="Y31" s="82">
        <v>0</v>
      </c>
      <c r="Z31" s="89">
        <v>45205.6955787037</v>
      </c>
      <c r="AA31" s="89">
        <v>45205.6955787037</v>
      </c>
      <c r="AB31" s="82"/>
      <c r="AC31" s="82"/>
      <c r="AD31" s="85" t="s">
        <v>2423</v>
      </c>
      <c r="AE31" s="84" t="str">
        <f>REPLACE(INDEX(GroupVertices[Group],MATCH("~"&amp;Edges[[#This Row],[Vertex 1]],GroupVertices[Vertex],0)),1,1,"")</f>
        <v>7</v>
      </c>
      <c r="AF31" s="84" t="str">
        <f>REPLACE(INDEX(GroupVertices[Group],MATCH("~"&amp;Edges[[#This Row],[Vertex 2]],GroupVertices[Vertex],0)),1,1,"")</f>
        <v>7</v>
      </c>
    </row>
    <row r="32" spans="1:32" ht="15">
      <c r="A32" s="66" t="s">
        <v>238</v>
      </c>
      <c r="B32" s="66" t="s">
        <v>899</v>
      </c>
      <c r="C32" s="67"/>
      <c r="D32" s="68"/>
      <c r="E32" s="69"/>
      <c r="F32" s="70"/>
      <c r="G32" s="67"/>
      <c r="H32" s="71"/>
      <c r="I32" s="72"/>
      <c r="J32" s="72"/>
      <c r="K32" s="35"/>
      <c r="L32" s="80">
        <v>32</v>
      </c>
      <c r="M32" s="80"/>
      <c r="N32" s="74"/>
      <c r="O32" s="82" t="s">
        <v>909</v>
      </c>
      <c r="P32" s="82" t="s">
        <v>197</v>
      </c>
      <c r="Q32" s="85" t="s">
        <v>939</v>
      </c>
      <c r="R32" s="82" t="s">
        <v>238</v>
      </c>
      <c r="S32" s="82" t="s">
        <v>1704</v>
      </c>
      <c r="T32" s="87" t="str">
        <f>HYPERLINK("http://www.youtube.com/channel/UC4nOxcy61lAMtv8hDE76gNw")</f>
        <v>http://www.youtube.com/channel/UC4nOxcy61lAMtv8hDE76gNw</v>
      </c>
      <c r="U32" s="82"/>
      <c r="V32" s="82" t="s">
        <v>2366</v>
      </c>
      <c r="W32" s="87" t="str">
        <f t="shared" si="0"/>
        <v>https://www.youtube.com/watch?v=sgOEGKDVvsg</v>
      </c>
      <c r="X32" s="82" t="s">
        <v>2384</v>
      </c>
      <c r="Y32" s="82">
        <v>1</v>
      </c>
      <c r="Z32" s="89">
        <v>45206.51793981482</v>
      </c>
      <c r="AA32" s="89">
        <v>45206.51793981482</v>
      </c>
      <c r="AB32" s="82" t="s">
        <v>2386</v>
      </c>
      <c r="AC32" s="82" t="s">
        <v>2413</v>
      </c>
      <c r="AD32" s="85" t="s">
        <v>2423</v>
      </c>
      <c r="AE32" s="84" t="str">
        <f>REPLACE(INDEX(GroupVertices[Group],MATCH("~"&amp;Edges[[#This Row],[Vertex 1]],GroupVertices[Vertex],0)),1,1,"")</f>
        <v>7</v>
      </c>
      <c r="AF32" s="84" t="str">
        <f>REPLACE(INDEX(GroupVertices[Group],MATCH("~"&amp;Edges[[#This Row],[Vertex 2]],GroupVertices[Vertex],0)),1,1,"")</f>
        <v>7</v>
      </c>
    </row>
    <row r="33" spans="1:32" ht="15">
      <c r="A33" s="66" t="s">
        <v>238</v>
      </c>
      <c r="B33" s="66" t="s">
        <v>899</v>
      </c>
      <c r="C33" s="67"/>
      <c r="D33" s="68"/>
      <c r="E33" s="69"/>
      <c r="F33" s="70"/>
      <c r="G33" s="67"/>
      <c r="H33" s="71"/>
      <c r="I33" s="72"/>
      <c r="J33" s="72"/>
      <c r="K33" s="35"/>
      <c r="L33" s="80">
        <v>33</v>
      </c>
      <c r="M33" s="80"/>
      <c r="N33" s="74"/>
      <c r="O33" s="82" t="s">
        <v>909</v>
      </c>
      <c r="P33" s="82" t="s">
        <v>197</v>
      </c>
      <c r="Q33" s="85" t="s">
        <v>940</v>
      </c>
      <c r="R33" s="82" t="s">
        <v>238</v>
      </c>
      <c r="S33" s="82" t="s">
        <v>1704</v>
      </c>
      <c r="T33" s="87" t="str">
        <f>HYPERLINK("http://www.youtube.com/channel/UC4nOxcy61lAMtv8hDE76gNw")</f>
        <v>http://www.youtube.com/channel/UC4nOxcy61lAMtv8hDE76gNw</v>
      </c>
      <c r="U33" s="82"/>
      <c r="V33" s="82" t="s">
        <v>2366</v>
      </c>
      <c r="W33" s="87" t="str">
        <f t="shared" si="0"/>
        <v>https://www.youtube.com/watch?v=sgOEGKDVvsg</v>
      </c>
      <c r="X33" s="82" t="s">
        <v>2384</v>
      </c>
      <c r="Y33" s="82">
        <v>0</v>
      </c>
      <c r="Z33" s="89">
        <v>45206.519525462965</v>
      </c>
      <c r="AA33" s="89">
        <v>45206.519525462965</v>
      </c>
      <c r="AB33" s="82"/>
      <c r="AC33" s="82"/>
      <c r="AD33" s="85" t="s">
        <v>2423</v>
      </c>
      <c r="AE33" s="84" t="str">
        <f>REPLACE(INDEX(GroupVertices[Group],MATCH("~"&amp;Edges[[#This Row],[Vertex 1]],GroupVertices[Vertex],0)),1,1,"")</f>
        <v>7</v>
      </c>
      <c r="AF33" s="84" t="str">
        <f>REPLACE(INDEX(GroupVertices[Group],MATCH("~"&amp;Edges[[#This Row],[Vertex 2]],GroupVertices[Vertex],0)),1,1,"")</f>
        <v>7</v>
      </c>
    </row>
    <row r="34" spans="1:32" ht="15">
      <c r="A34" s="66" t="s">
        <v>239</v>
      </c>
      <c r="B34" s="66" t="s">
        <v>899</v>
      </c>
      <c r="C34" s="67"/>
      <c r="D34" s="68"/>
      <c r="E34" s="69"/>
      <c r="F34" s="70"/>
      <c r="G34" s="67"/>
      <c r="H34" s="71"/>
      <c r="I34" s="72"/>
      <c r="J34" s="72"/>
      <c r="K34" s="35"/>
      <c r="L34" s="80">
        <v>34</v>
      </c>
      <c r="M34" s="80"/>
      <c r="N34" s="74"/>
      <c r="O34" s="82" t="s">
        <v>909</v>
      </c>
      <c r="P34" s="82" t="s">
        <v>197</v>
      </c>
      <c r="Q34" s="85" t="s">
        <v>941</v>
      </c>
      <c r="R34" s="82" t="s">
        <v>239</v>
      </c>
      <c r="S34" s="82" t="s">
        <v>1705</v>
      </c>
      <c r="T34" s="87" t="str">
        <f>HYPERLINK("http://www.youtube.com/channel/UCPHOiPD-UZkhTZ8EqYfvrMA")</f>
        <v>http://www.youtube.com/channel/UCPHOiPD-UZkhTZ8EqYfvrMA</v>
      </c>
      <c r="U34" s="82"/>
      <c r="V34" s="82" t="s">
        <v>2366</v>
      </c>
      <c r="W34" s="87" t="str">
        <f t="shared" si="0"/>
        <v>https://www.youtube.com/watch?v=sgOEGKDVvsg</v>
      </c>
      <c r="X34" s="82" t="s">
        <v>2384</v>
      </c>
      <c r="Y34" s="82">
        <v>0</v>
      </c>
      <c r="Z34" s="89">
        <v>45206.70552083333</v>
      </c>
      <c r="AA34" s="89">
        <v>45206.70552083333</v>
      </c>
      <c r="AB34" s="82"/>
      <c r="AC34" s="82"/>
      <c r="AD34" s="85" t="s">
        <v>2423</v>
      </c>
      <c r="AE34" s="84" t="str">
        <f>REPLACE(INDEX(GroupVertices[Group],MATCH("~"&amp;Edges[[#This Row],[Vertex 1]],GroupVertices[Vertex],0)),1,1,"")</f>
        <v>7</v>
      </c>
      <c r="AF34" s="84" t="str">
        <f>REPLACE(INDEX(GroupVertices[Group],MATCH("~"&amp;Edges[[#This Row],[Vertex 2]],GroupVertices[Vertex],0)),1,1,"")</f>
        <v>7</v>
      </c>
    </row>
    <row r="35" spans="1:32" ht="15">
      <c r="A35" s="66" t="s">
        <v>240</v>
      </c>
      <c r="B35" s="66" t="s">
        <v>899</v>
      </c>
      <c r="C35" s="67"/>
      <c r="D35" s="68"/>
      <c r="E35" s="69"/>
      <c r="F35" s="70"/>
      <c r="G35" s="67"/>
      <c r="H35" s="71"/>
      <c r="I35" s="72"/>
      <c r="J35" s="72"/>
      <c r="K35" s="35"/>
      <c r="L35" s="80">
        <v>35</v>
      </c>
      <c r="M35" s="80"/>
      <c r="N35" s="74"/>
      <c r="O35" s="82" t="s">
        <v>909</v>
      </c>
      <c r="P35" s="82" t="s">
        <v>197</v>
      </c>
      <c r="Q35" s="85" t="s">
        <v>942</v>
      </c>
      <c r="R35" s="82" t="s">
        <v>240</v>
      </c>
      <c r="S35" s="82" t="s">
        <v>1706</v>
      </c>
      <c r="T35" s="87" t="str">
        <f>HYPERLINK("http://www.youtube.com/channel/UCeE9tUuXb-Af5Z0htAbhW1A")</f>
        <v>http://www.youtube.com/channel/UCeE9tUuXb-Af5Z0htAbhW1A</v>
      </c>
      <c r="U35" s="82"/>
      <c r="V35" s="82" t="s">
        <v>2366</v>
      </c>
      <c r="W35" s="87" t="str">
        <f aca="true" t="shared" si="1" ref="W35:W62">HYPERLINK("https://www.youtube.com/watch?v=sgOEGKDVvsg")</f>
        <v>https://www.youtube.com/watch?v=sgOEGKDVvsg</v>
      </c>
      <c r="X35" s="82" t="s">
        <v>2384</v>
      </c>
      <c r="Y35" s="82">
        <v>1</v>
      </c>
      <c r="Z35" s="89">
        <v>45209.933703703704</v>
      </c>
      <c r="AA35" s="89">
        <v>45209.933703703704</v>
      </c>
      <c r="AB35" s="82" t="s">
        <v>2387</v>
      </c>
      <c r="AC35" s="82" t="s">
        <v>2414</v>
      </c>
      <c r="AD35" s="85" t="s">
        <v>2423</v>
      </c>
      <c r="AE35" s="84" t="str">
        <f>REPLACE(INDEX(GroupVertices[Group],MATCH("~"&amp;Edges[[#This Row],[Vertex 1]],GroupVertices[Vertex],0)),1,1,"")</f>
        <v>7</v>
      </c>
      <c r="AF35" s="84" t="str">
        <f>REPLACE(INDEX(GroupVertices[Group],MATCH("~"&amp;Edges[[#This Row],[Vertex 2]],GroupVertices[Vertex],0)),1,1,"")</f>
        <v>7</v>
      </c>
    </row>
    <row r="36" spans="1:32" ht="15">
      <c r="A36" s="66" t="s">
        <v>241</v>
      </c>
      <c r="B36" s="66" t="s">
        <v>899</v>
      </c>
      <c r="C36" s="67"/>
      <c r="D36" s="68"/>
      <c r="E36" s="69"/>
      <c r="F36" s="70"/>
      <c r="G36" s="67"/>
      <c r="H36" s="71"/>
      <c r="I36" s="72"/>
      <c r="J36" s="72"/>
      <c r="K36" s="35"/>
      <c r="L36" s="80">
        <v>36</v>
      </c>
      <c r="M36" s="80"/>
      <c r="N36" s="74"/>
      <c r="O36" s="82" t="s">
        <v>909</v>
      </c>
      <c r="P36" s="82" t="s">
        <v>197</v>
      </c>
      <c r="Q36" s="85" t="s">
        <v>943</v>
      </c>
      <c r="R36" s="82" t="s">
        <v>241</v>
      </c>
      <c r="S36" s="82" t="s">
        <v>1707</v>
      </c>
      <c r="T36" s="87" t="str">
        <f>HYPERLINK("http://www.youtube.com/channel/UCxF1aj-PYla8B3Hnw8jCW_g")</f>
        <v>http://www.youtube.com/channel/UCxF1aj-PYla8B3Hnw8jCW_g</v>
      </c>
      <c r="U36" s="82"/>
      <c r="V36" s="82" t="s">
        <v>2366</v>
      </c>
      <c r="W36" s="87" t="str">
        <f t="shared" si="1"/>
        <v>https://www.youtube.com/watch?v=sgOEGKDVvsg</v>
      </c>
      <c r="X36" s="82" t="s">
        <v>2384</v>
      </c>
      <c r="Y36" s="82">
        <v>0</v>
      </c>
      <c r="Z36" s="89">
        <v>45211.19395833334</v>
      </c>
      <c r="AA36" s="89">
        <v>45211.19395833334</v>
      </c>
      <c r="AB36" s="82"/>
      <c r="AC36" s="82"/>
      <c r="AD36" s="85" t="s">
        <v>2423</v>
      </c>
      <c r="AE36" s="84" t="str">
        <f>REPLACE(INDEX(GroupVertices[Group],MATCH("~"&amp;Edges[[#This Row],[Vertex 1]],GroupVertices[Vertex],0)),1,1,"")</f>
        <v>7</v>
      </c>
      <c r="AF36" s="84" t="str">
        <f>REPLACE(INDEX(GroupVertices[Group],MATCH("~"&amp;Edges[[#This Row],[Vertex 2]],GroupVertices[Vertex],0)),1,1,"")</f>
        <v>7</v>
      </c>
    </row>
    <row r="37" spans="1:32" ht="15">
      <c r="A37" s="66" t="s">
        <v>242</v>
      </c>
      <c r="B37" s="66" t="s">
        <v>899</v>
      </c>
      <c r="C37" s="67"/>
      <c r="D37" s="68"/>
      <c r="E37" s="69"/>
      <c r="F37" s="70"/>
      <c r="G37" s="67"/>
      <c r="H37" s="71"/>
      <c r="I37" s="72"/>
      <c r="J37" s="72"/>
      <c r="K37" s="35"/>
      <c r="L37" s="80">
        <v>37</v>
      </c>
      <c r="M37" s="80"/>
      <c r="N37" s="74"/>
      <c r="O37" s="82" t="s">
        <v>909</v>
      </c>
      <c r="P37" s="82" t="s">
        <v>197</v>
      </c>
      <c r="Q37" s="85" t="s">
        <v>944</v>
      </c>
      <c r="R37" s="82" t="s">
        <v>242</v>
      </c>
      <c r="S37" s="82" t="s">
        <v>1708</v>
      </c>
      <c r="T37" s="87" t="str">
        <f>HYPERLINK("http://www.youtube.com/channel/UCOm3-spPyN5DgxlzuCQjMmQ")</f>
        <v>http://www.youtube.com/channel/UCOm3-spPyN5DgxlzuCQjMmQ</v>
      </c>
      <c r="U37" s="82"/>
      <c r="V37" s="82" t="s">
        <v>2366</v>
      </c>
      <c r="W37" s="87" t="str">
        <f t="shared" si="1"/>
        <v>https://www.youtube.com/watch?v=sgOEGKDVvsg</v>
      </c>
      <c r="X37" s="82" t="s">
        <v>2384</v>
      </c>
      <c r="Y37" s="82">
        <v>0</v>
      </c>
      <c r="Z37" s="89">
        <v>45211.41322916667</v>
      </c>
      <c r="AA37" s="89">
        <v>45211.41322916667</v>
      </c>
      <c r="AB37" s="82"/>
      <c r="AC37" s="82"/>
      <c r="AD37" s="85" t="s">
        <v>2423</v>
      </c>
      <c r="AE37" s="84" t="str">
        <f>REPLACE(INDEX(GroupVertices[Group],MATCH("~"&amp;Edges[[#This Row],[Vertex 1]],GroupVertices[Vertex],0)),1,1,"")</f>
        <v>7</v>
      </c>
      <c r="AF37" s="84" t="str">
        <f>REPLACE(INDEX(GroupVertices[Group],MATCH("~"&amp;Edges[[#This Row],[Vertex 2]],GroupVertices[Vertex],0)),1,1,"")</f>
        <v>7</v>
      </c>
    </row>
    <row r="38" spans="1:32" ht="15">
      <c r="A38" s="66" t="s">
        <v>243</v>
      </c>
      <c r="B38" s="66" t="s">
        <v>899</v>
      </c>
      <c r="C38" s="67"/>
      <c r="D38" s="68"/>
      <c r="E38" s="69"/>
      <c r="F38" s="70"/>
      <c r="G38" s="67"/>
      <c r="H38" s="71"/>
      <c r="I38" s="72"/>
      <c r="J38" s="72"/>
      <c r="K38" s="35"/>
      <c r="L38" s="80">
        <v>38</v>
      </c>
      <c r="M38" s="80"/>
      <c r="N38" s="74"/>
      <c r="O38" s="82" t="s">
        <v>909</v>
      </c>
      <c r="P38" s="82" t="s">
        <v>197</v>
      </c>
      <c r="Q38" s="85" t="s">
        <v>945</v>
      </c>
      <c r="R38" s="82" t="s">
        <v>243</v>
      </c>
      <c r="S38" s="82" t="s">
        <v>1709</v>
      </c>
      <c r="T38" s="87" t="str">
        <f>HYPERLINK("http://www.youtube.com/channel/UCbukuarSw90PQz-cPQXG0BA")</f>
        <v>http://www.youtube.com/channel/UCbukuarSw90PQz-cPQXG0BA</v>
      </c>
      <c r="U38" s="82"/>
      <c r="V38" s="82" t="s">
        <v>2366</v>
      </c>
      <c r="W38" s="87" t="str">
        <f t="shared" si="1"/>
        <v>https://www.youtube.com/watch?v=sgOEGKDVvsg</v>
      </c>
      <c r="X38" s="82" t="s">
        <v>2384</v>
      </c>
      <c r="Y38" s="82">
        <v>1</v>
      </c>
      <c r="Z38" s="89">
        <v>45214.125185185185</v>
      </c>
      <c r="AA38" s="89">
        <v>45214.125185185185</v>
      </c>
      <c r="AB38" s="82"/>
      <c r="AC38" s="82"/>
      <c r="AD38" s="85" t="s">
        <v>2423</v>
      </c>
      <c r="AE38" s="84" t="str">
        <f>REPLACE(INDEX(GroupVertices[Group],MATCH("~"&amp;Edges[[#This Row],[Vertex 1]],GroupVertices[Vertex],0)),1,1,"")</f>
        <v>7</v>
      </c>
      <c r="AF38" s="84" t="str">
        <f>REPLACE(INDEX(GroupVertices[Group],MATCH("~"&amp;Edges[[#This Row],[Vertex 2]],GroupVertices[Vertex],0)),1,1,"")</f>
        <v>7</v>
      </c>
    </row>
    <row r="39" spans="1:32" ht="15">
      <c r="A39" s="66" t="s">
        <v>244</v>
      </c>
      <c r="B39" s="66" t="s">
        <v>899</v>
      </c>
      <c r="C39" s="67"/>
      <c r="D39" s="68"/>
      <c r="E39" s="69"/>
      <c r="F39" s="70"/>
      <c r="G39" s="67"/>
      <c r="H39" s="71"/>
      <c r="I39" s="72"/>
      <c r="J39" s="72"/>
      <c r="K39" s="35"/>
      <c r="L39" s="80">
        <v>39</v>
      </c>
      <c r="M39" s="80"/>
      <c r="N39" s="74"/>
      <c r="O39" s="82" t="s">
        <v>909</v>
      </c>
      <c r="P39" s="82" t="s">
        <v>197</v>
      </c>
      <c r="Q39" s="85" t="s">
        <v>946</v>
      </c>
      <c r="R39" s="82" t="s">
        <v>244</v>
      </c>
      <c r="S39" s="82" t="s">
        <v>1710</v>
      </c>
      <c r="T39" s="87" t="str">
        <f>HYPERLINK("http://www.youtube.com/channel/UCci2zv9MyHCZbNxAZ9qzxtw")</f>
        <v>http://www.youtube.com/channel/UCci2zv9MyHCZbNxAZ9qzxtw</v>
      </c>
      <c r="U39" s="82"/>
      <c r="V39" s="82" t="s">
        <v>2366</v>
      </c>
      <c r="W39" s="87" t="str">
        <f t="shared" si="1"/>
        <v>https://www.youtube.com/watch?v=sgOEGKDVvsg</v>
      </c>
      <c r="X39" s="82" t="s">
        <v>2384</v>
      </c>
      <c r="Y39" s="82">
        <v>0</v>
      </c>
      <c r="Z39" s="89">
        <v>45214.65530092592</v>
      </c>
      <c r="AA39" s="89">
        <v>45214.65530092592</v>
      </c>
      <c r="AB39" s="82"/>
      <c r="AC39" s="82"/>
      <c r="AD39" s="85" t="s">
        <v>2423</v>
      </c>
      <c r="AE39" s="84" t="str">
        <f>REPLACE(INDEX(GroupVertices[Group],MATCH("~"&amp;Edges[[#This Row],[Vertex 1]],GroupVertices[Vertex],0)),1,1,"")</f>
        <v>7</v>
      </c>
      <c r="AF39" s="84" t="str">
        <f>REPLACE(INDEX(GroupVertices[Group],MATCH("~"&amp;Edges[[#This Row],[Vertex 2]],GroupVertices[Vertex],0)),1,1,"")</f>
        <v>7</v>
      </c>
    </row>
    <row r="40" spans="1:32" ht="15">
      <c r="A40" s="66" t="s">
        <v>245</v>
      </c>
      <c r="B40" s="66" t="s">
        <v>899</v>
      </c>
      <c r="C40" s="67"/>
      <c r="D40" s="68"/>
      <c r="E40" s="69"/>
      <c r="F40" s="70"/>
      <c r="G40" s="67"/>
      <c r="H40" s="71"/>
      <c r="I40" s="72"/>
      <c r="J40" s="72"/>
      <c r="K40" s="35"/>
      <c r="L40" s="80">
        <v>40</v>
      </c>
      <c r="M40" s="80"/>
      <c r="N40" s="74"/>
      <c r="O40" s="82" t="s">
        <v>909</v>
      </c>
      <c r="P40" s="82" t="s">
        <v>197</v>
      </c>
      <c r="Q40" s="85" t="s">
        <v>947</v>
      </c>
      <c r="R40" s="82" t="s">
        <v>245</v>
      </c>
      <c r="S40" s="82" t="s">
        <v>1711</v>
      </c>
      <c r="T40" s="87" t="str">
        <f>HYPERLINK("http://www.youtube.com/channel/UC81qivdOLC9MX1iyo6gFnEQ")</f>
        <v>http://www.youtube.com/channel/UC81qivdOLC9MX1iyo6gFnEQ</v>
      </c>
      <c r="U40" s="82"/>
      <c r="V40" s="82" t="s">
        <v>2366</v>
      </c>
      <c r="W40" s="87" t="str">
        <f t="shared" si="1"/>
        <v>https://www.youtube.com/watch?v=sgOEGKDVvsg</v>
      </c>
      <c r="X40" s="82" t="s">
        <v>2384</v>
      </c>
      <c r="Y40" s="82">
        <v>0</v>
      </c>
      <c r="Z40" s="89">
        <v>45214.92152777778</v>
      </c>
      <c r="AA40" s="89">
        <v>45214.92152777778</v>
      </c>
      <c r="AB40" s="82"/>
      <c r="AC40" s="82"/>
      <c r="AD40" s="85" t="s">
        <v>2423</v>
      </c>
      <c r="AE40" s="84" t="str">
        <f>REPLACE(INDEX(GroupVertices[Group],MATCH("~"&amp;Edges[[#This Row],[Vertex 1]],GroupVertices[Vertex],0)),1,1,"")</f>
        <v>7</v>
      </c>
      <c r="AF40" s="84" t="str">
        <f>REPLACE(INDEX(GroupVertices[Group],MATCH("~"&amp;Edges[[#This Row],[Vertex 2]],GroupVertices[Vertex],0)),1,1,"")</f>
        <v>7</v>
      </c>
    </row>
    <row r="41" spans="1:32" ht="15">
      <c r="A41" s="66" t="s">
        <v>246</v>
      </c>
      <c r="B41" s="66" t="s">
        <v>899</v>
      </c>
      <c r="C41" s="67"/>
      <c r="D41" s="68"/>
      <c r="E41" s="69"/>
      <c r="F41" s="70"/>
      <c r="G41" s="67"/>
      <c r="H41" s="71"/>
      <c r="I41" s="72"/>
      <c r="J41" s="72"/>
      <c r="K41" s="35"/>
      <c r="L41" s="80">
        <v>41</v>
      </c>
      <c r="M41" s="80"/>
      <c r="N41" s="74"/>
      <c r="O41" s="82" t="s">
        <v>909</v>
      </c>
      <c r="P41" s="82" t="s">
        <v>197</v>
      </c>
      <c r="Q41" s="85" t="s">
        <v>948</v>
      </c>
      <c r="R41" s="82" t="s">
        <v>246</v>
      </c>
      <c r="S41" s="82" t="s">
        <v>1712</v>
      </c>
      <c r="T41" s="87" t="str">
        <f>HYPERLINK("http://www.youtube.com/channel/UCB08afI6J-z32bLToQ00Lig")</f>
        <v>http://www.youtube.com/channel/UCB08afI6J-z32bLToQ00Lig</v>
      </c>
      <c r="U41" s="82"/>
      <c r="V41" s="82" t="s">
        <v>2366</v>
      </c>
      <c r="W41" s="87" t="str">
        <f t="shared" si="1"/>
        <v>https://www.youtube.com/watch?v=sgOEGKDVvsg</v>
      </c>
      <c r="X41" s="82" t="s">
        <v>2384</v>
      </c>
      <c r="Y41" s="82">
        <v>0</v>
      </c>
      <c r="Z41" s="89">
        <v>45206.92298611111</v>
      </c>
      <c r="AA41" s="89">
        <v>45206.92298611111</v>
      </c>
      <c r="AB41" s="82"/>
      <c r="AC41" s="82"/>
      <c r="AD41" s="85" t="s">
        <v>2423</v>
      </c>
      <c r="AE41" s="84" t="str">
        <f>REPLACE(INDEX(GroupVertices[Group],MATCH("~"&amp;Edges[[#This Row],[Vertex 1]],GroupVertices[Vertex],0)),1,1,"")</f>
        <v>7</v>
      </c>
      <c r="AF41" s="84" t="str">
        <f>REPLACE(INDEX(GroupVertices[Group],MATCH("~"&amp;Edges[[#This Row],[Vertex 2]],GroupVertices[Vertex],0)),1,1,"")</f>
        <v>7</v>
      </c>
    </row>
    <row r="42" spans="1:32" ht="15">
      <c r="A42" s="66" t="s">
        <v>246</v>
      </c>
      <c r="B42" s="66" t="s">
        <v>899</v>
      </c>
      <c r="C42" s="67"/>
      <c r="D42" s="68"/>
      <c r="E42" s="69"/>
      <c r="F42" s="70"/>
      <c r="G42" s="67"/>
      <c r="H42" s="71"/>
      <c r="I42" s="72"/>
      <c r="J42" s="72"/>
      <c r="K42" s="35"/>
      <c r="L42" s="80">
        <v>42</v>
      </c>
      <c r="M42" s="80"/>
      <c r="N42" s="74"/>
      <c r="O42" s="82" t="s">
        <v>909</v>
      </c>
      <c r="P42" s="82" t="s">
        <v>197</v>
      </c>
      <c r="Q42" s="85" t="s">
        <v>949</v>
      </c>
      <c r="R42" s="82" t="s">
        <v>246</v>
      </c>
      <c r="S42" s="82" t="s">
        <v>1712</v>
      </c>
      <c r="T42" s="87" t="str">
        <f>HYPERLINK("http://www.youtube.com/channel/UCB08afI6J-z32bLToQ00Lig")</f>
        <v>http://www.youtube.com/channel/UCB08afI6J-z32bLToQ00Lig</v>
      </c>
      <c r="U42" s="82"/>
      <c r="V42" s="82" t="s">
        <v>2366</v>
      </c>
      <c r="W42" s="87" t="str">
        <f t="shared" si="1"/>
        <v>https://www.youtube.com/watch?v=sgOEGKDVvsg</v>
      </c>
      <c r="X42" s="82" t="s">
        <v>2384</v>
      </c>
      <c r="Y42" s="82">
        <v>1</v>
      </c>
      <c r="Z42" s="89">
        <v>45206.92393518519</v>
      </c>
      <c r="AA42" s="89">
        <v>45206.92393518519</v>
      </c>
      <c r="AB42" s="82"/>
      <c r="AC42" s="82"/>
      <c r="AD42" s="85" t="s">
        <v>2423</v>
      </c>
      <c r="AE42" s="84" t="str">
        <f>REPLACE(INDEX(GroupVertices[Group],MATCH("~"&amp;Edges[[#This Row],[Vertex 1]],GroupVertices[Vertex],0)),1,1,"")</f>
        <v>7</v>
      </c>
      <c r="AF42" s="84" t="str">
        <f>REPLACE(INDEX(GroupVertices[Group],MATCH("~"&amp;Edges[[#This Row],[Vertex 2]],GroupVertices[Vertex],0)),1,1,"")</f>
        <v>7</v>
      </c>
    </row>
    <row r="43" spans="1:32" ht="15">
      <c r="A43" s="66" t="s">
        <v>246</v>
      </c>
      <c r="B43" s="66" t="s">
        <v>899</v>
      </c>
      <c r="C43" s="67"/>
      <c r="D43" s="68"/>
      <c r="E43" s="69"/>
      <c r="F43" s="70"/>
      <c r="G43" s="67"/>
      <c r="H43" s="71"/>
      <c r="I43" s="72"/>
      <c r="J43" s="72"/>
      <c r="K43" s="35"/>
      <c r="L43" s="80">
        <v>43</v>
      </c>
      <c r="M43" s="80"/>
      <c r="N43" s="74"/>
      <c r="O43" s="82" t="s">
        <v>909</v>
      </c>
      <c r="P43" s="82" t="s">
        <v>197</v>
      </c>
      <c r="Q43" s="85" t="s">
        <v>950</v>
      </c>
      <c r="R43" s="82" t="s">
        <v>246</v>
      </c>
      <c r="S43" s="82" t="s">
        <v>1712</v>
      </c>
      <c r="T43" s="87" t="str">
        <f>HYPERLINK("http://www.youtube.com/channel/UCB08afI6J-z32bLToQ00Lig")</f>
        <v>http://www.youtube.com/channel/UCB08afI6J-z32bLToQ00Lig</v>
      </c>
      <c r="U43" s="82"/>
      <c r="V43" s="82" t="s">
        <v>2366</v>
      </c>
      <c r="W43" s="87" t="str">
        <f t="shared" si="1"/>
        <v>https://www.youtube.com/watch?v=sgOEGKDVvsg</v>
      </c>
      <c r="X43" s="82" t="s">
        <v>2384</v>
      </c>
      <c r="Y43" s="82">
        <v>0</v>
      </c>
      <c r="Z43" s="89">
        <v>45206.93087962963</v>
      </c>
      <c r="AA43" s="89">
        <v>45206.93087962963</v>
      </c>
      <c r="AB43" s="82"/>
      <c r="AC43" s="82"/>
      <c r="AD43" s="85" t="s">
        <v>2423</v>
      </c>
      <c r="AE43" s="84" t="str">
        <f>REPLACE(INDEX(GroupVertices[Group],MATCH("~"&amp;Edges[[#This Row],[Vertex 1]],GroupVertices[Vertex],0)),1,1,"")</f>
        <v>7</v>
      </c>
      <c r="AF43" s="84" t="str">
        <f>REPLACE(INDEX(GroupVertices[Group],MATCH("~"&amp;Edges[[#This Row],[Vertex 2]],GroupVertices[Vertex],0)),1,1,"")</f>
        <v>7</v>
      </c>
    </row>
    <row r="44" spans="1:32" ht="15">
      <c r="A44" s="66" t="s">
        <v>246</v>
      </c>
      <c r="B44" s="66" t="s">
        <v>899</v>
      </c>
      <c r="C44" s="67"/>
      <c r="D44" s="68"/>
      <c r="E44" s="69"/>
      <c r="F44" s="70"/>
      <c r="G44" s="67"/>
      <c r="H44" s="71"/>
      <c r="I44" s="72"/>
      <c r="J44" s="72"/>
      <c r="K44" s="35"/>
      <c r="L44" s="80">
        <v>44</v>
      </c>
      <c r="M44" s="80"/>
      <c r="N44" s="74"/>
      <c r="O44" s="82" t="s">
        <v>909</v>
      </c>
      <c r="P44" s="82" t="s">
        <v>197</v>
      </c>
      <c r="Q44" s="85" t="s">
        <v>951</v>
      </c>
      <c r="R44" s="82" t="s">
        <v>246</v>
      </c>
      <c r="S44" s="82" t="s">
        <v>1712</v>
      </c>
      <c r="T44" s="87" t="str">
        <f>HYPERLINK("http://www.youtube.com/channel/UCB08afI6J-z32bLToQ00Lig")</f>
        <v>http://www.youtube.com/channel/UCB08afI6J-z32bLToQ00Lig</v>
      </c>
      <c r="U44" s="82"/>
      <c r="V44" s="82" t="s">
        <v>2366</v>
      </c>
      <c r="W44" s="87" t="str">
        <f t="shared" si="1"/>
        <v>https://www.youtube.com/watch?v=sgOEGKDVvsg</v>
      </c>
      <c r="X44" s="82" t="s">
        <v>2384</v>
      </c>
      <c r="Y44" s="82">
        <v>0</v>
      </c>
      <c r="Z44" s="89">
        <v>45215.21228009259</v>
      </c>
      <c r="AA44" s="89">
        <v>45215.21228009259</v>
      </c>
      <c r="AB44" s="82"/>
      <c r="AC44" s="82"/>
      <c r="AD44" s="85" t="s">
        <v>2423</v>
      </c>
      <c r="AE44" s="84" t="str">
        <f>REPLACE(INDEX(GroupVertices[Group],MATCH("~"&amp;Edges[[#This Row],[Vertex 1]],GroupVertices[Vertex],0)),1,1,"")</f>
        <v>7</v>
      </c>
      <c r="AF44" s="84" t="str">
        <f>REPLACE(INDEX(GroupVertices[Group],MATCH("~"&amp;Edges[[#This Row],[Vertex 2]],GroupVertices[Vertex],0)),1,1,"")</f>
        <v>7</v>
      </c>
    </row>
    <row r="45" spans="1:32" ht="15">
      <c r="A45" s="66" t="s">
        <v>246</v>
      </c>
      <c r="B45" s="66" t="s">
        <v>899</v>
      </c>
      <c r="C45" s="67"/>
      <c r="D45" s="68"/>
      <c r="E45" s="69"/>
      <c r="F45" s="70"/>
      <c r="G45" s="67"/>
      <c r="H45" s="71"/>
      <c r="I45" s="72"/>
      <c r="J45" s="72"/>
      <c r="K45" s="35"/>
      <c r="L45" s="80">
        <v>45</v>
      </c>
      <c r="M45" s="80"/>
      <c r="N45" s="74"/>
      <c r="O45" s="82" t="s">
        <v>909</v>
      </c>
      <c r="P45" s="82" t="s">
        <v>197</v>
      </c>
      <c r="Q45" s="85" t="s">
        <v>952</v>
      </c>
      <c r="R45" s="82" t="s">
        <v>246</v>
      </c>
      <c r="S45" s="82" t="s">
        <v>1712</v>
      </c>
      <c r="T45" s="87" t="str">
        <f>HYPERLINK("http://www.youtube.com/channel/UCB08afI6J-z32bLToQ00Lig")</f>
        <v>http://www.youtube.com/channel/UCB08afI6J-z32bLToQ00Lig</v>
      </c>
      <c r="U45" s="82"/>
      <c r="V45" s="82" t="s">
        <v>2366</v>
      </c>
      <c r="W45" s="87" t="str">
        <f t="shared" si="1"/>
        <v>https://www.youtube.com/watch?v=sgOEGKDVvsg</v>
      </c>
      <c r="X45" s="82" t="s">
        <v>2384</v>
      </c>
      <c r="Y45" s="82">
        <v>0</v>
      </c>
      <c r="Z45" s="89">
        <v>45215.21931712963</v>
      </c>
      <c r="AA45" s="89">
        <v>45215.21931712963</v>
      </c>
      <c r="AB45" s="82"/>
      <c r="AC45" s="82"/>
      <c r="AD45" s="85" t="s">
        <v>2423</v>
      </c>
      <c r="AE45" s="84" t="str">
        <f>REPLACE(INDEX(GroupVertices[Group],MATCH("~"&amp;Edges[[#This Row],[Vertex 1]],GroupVertices[Vertex],0)),1,1,"")</f>
        <v>7</v>
      </c>
      <c r="AF45" s="84" t="str">
        <f>REPLACE(INDEX(GroupVertices[Group],MATCH("~"&amp;Edges[[#This Row],[Vertex 2]],GroupVertices[Vertex],0)),1,1,"")</f>
        <v>7</v>
      </c>
    </row>
    <row r="46" spans="1:32" ht="15">
      <c r="A46" s="66" t="s">
        <v>247</v>
      </c>
      <c r="B46" s="66" t="s">
        <v>899</v>
      </c>
      <c r="C46" s="67"/>
      <c r="D46" s="68"/>
      <c r="E46" s="69"/>
      <c r="F46" s="70"/>
      <c r="G46" s="67"/>
      <c r="H46" s="71"/>
      <c r="I46" s="72"/>
      <c r="J46" s="72"/>
      <c r="K46" s="35"/>
      <c r="L46" s="80">
        <v>46</v>
      </c>
      <c r="M46" s="80"/>
      <c r="N46" s="74"/>
      <c r="O46" s="82" t="s">
        <v>909</v>
      </c>
      <c r="P46" s="82" t="s">
        <v>197</v>
      </c>
      <c r="Q46" s="85" t="s">
        <v>953</v>
      </c>
      <c r="R46" s="82" t="s">
        <v>247</v>
      </c>
      <c r="S46" s="82" t="s">
        <v>1713</v>
      </c>
      <c r="T46" s="87" t="str">
        <f>HYPERLINK("http://www.youtube.com/channel/UCjlXQpFZHYRad1bWonvF-iw")</f>
        <v>http://www.youtube.com/channel/UCjlXQpFZHYRad1bWonvF-iw</v>
      </c>
      <c r="U46" s="82"/>
      <c r="V46" s="82" t="s">
        <v>2366</v>
      </c>
      <c r="W46" s="87" t="str">
        <f t="shared" si="1"/>
        <v>https://www.youtube.com/watch?v=sgOEGKDVvsg</v>
      </c>
      <c r="X46" s="82" t="s">
        <v>2384</v>
      </c>
      <c r="Y46" s="82">
        <v>0</v>
      </c>
      <c r="Z46" s="89">
        <v>45217.70201388889</v>
      </c>
      <c r="AA46" s="89">
        <v>45217.70201388889</v>
      </c>
      <c r="AB46" s="82"/>
      <c r="AC46" s="82"/>
      <c r="AD46" s="85" t="s">
        <v>2423</v>
      </c>
      <c r="AE46" s="84" t="str">
        <f>REPLACE(INDEX(GroupVertices[Group],MATCH("~"&amp;Edges[[#This Row],[Vertex 1]],GroupVertices[Vertex],0)),1,1,"")</f>
        <v>7</v>
      </c>
      <c r="AF46" s="84" t="str">
        <f>REPLACE(INDEX(GroupVertices[Group],MATCH("~"&amp;Edges[[#This Row],[Vertex 2]],GroupVertices[Vertex],0)),1,1,"")</f>
        <v>7</v>
      </c>
    </row>
    <row r="47" spans="1:32" ht="15">
      <c r="A47" s="66" t="s">
        <v>248</v>
      </c>
      <c r="B47" s="66" t="s">
        <v>899</v>
      </c>
      <c r="C47" s="67"/>
      <c r="D47" s="68"/>
      <c r="E47" s="69"/>
      <c r="F47" s="70"/>
      <c r="G47" s="67"/>
      <c r="H47" s="71"/>
      <c r="I47" s="72"/>
      <c r="J47" s="72"/>
      <c r="K47" s="35"/>
      <c r="L47" s="80">
        <v>47</v>
      </c>
      <c r="M47" s="80"/>
      <c r="N47" s="74"/>
      <c r="O47" s="82" t="s">
        <v>909</v>
      </c>
      <c r="P47" s="82" t="s">
        <v>197</v>
      </c>
      <c r="Q47" s="85" t="s">
        <v>954</v>
      </c>
      <c r="R47" s="82" t="s">
        <v>248</v>
      </c>
      <c r="S47" s="82" t="s">
        <v>1714</v>
      </c>
      <c r="T47" s="87" t="str">
        <f>HYPERLINK("http://www.youtube.com/channel/UCUymqr1H75NBt3R_Kepq9mg")</f>
        <v>http://www.youtube.com/channel/UCUymqr1H75NBt3R_Kepq9mg</v>
      </c>
      <c r="U47" s="82"/>
      <c r="V47" s="82" t="s">
        <v>2366</v>
      </c>
      <c r="W47" s="87" t="str">
        <f t="shared" si="1"/>
        <v>https://www.youtube.com/watch?v=sgOEGKDVvsg</v>
      </c>
      <c r="X47" s="82" t="s">
        <v>2384</v>
      </c>
      <c r="Y47" s="82">
        <v>0</v>
      </c>
      <c r="Z47" s="89">
        <v>45220.49421296296</v>
      </c>
      <c r="AA47" s="89">
        <v>45220.49421296296</v>
      </c>
      <c r="AB47" s="82" t="s">
        <v>2388</v>
      </c>
      <c r="AC47" s="82" t="s">
        <v>2413</v>
      </c>
      <c r="AD47" s="85" t="s">
        <v>2423</v>
      </c>
      <c r="AE47" s="84" t="str">
        <f>REPLACE(INDEX(GroupVertices[Group],MATCH("~"&amp;Edges[[#This Row],[Vertex 1]],GroupVertices[Vertex],0)),1,1,"")</f>
        <v>7</v>
      </c>
      <c r="AF47" s="84" t="str">
        <f>REPLACE(INDEX(GroupVertices[Group],MATCH("~"&amp;Edges[[#This Row],[Vertex 2]],GroupVertices[Vertex],0)),1,1,"")</f>
        <v>7</v>
      </c>
    </row>
    <row r="48" spans="1:32" ht="15">
      <c r="A48" s="66" t="s">
        <v>249</v>
      </c>
      <c r="B48" s="66" t="s">
        <v>899</v>
      </c>
      <c r="C48" s="67"/>
      <c r="D48" s="68"/>
      <c r="E48" s="69"/>
      <c r="F48" s="70"/>
      <c r="G48" s="67"/>
      <c r="H48" s="71"/>
      <c r="I48" s="72"/>
      <c r="J48" s="72"/>
      <c r="K48" s="35"/>
      <c r="L48" s="80">
        <v>48</v>
      </c>
      <c r="M48" s="80"/>
      <c r="N48" s="74"/>
      <c r="O48" s="82" t="s">
        <v>909</v>
      </c>
      <c r="P48" s="82" t="s">
        <v>197</v>
      </c>
      <c r="Q48" s="85" t="s">
        <v>955</v>
      </c>
      <c r="R48" s="82" t="s">
        <v>249</v>
      </c>
      <c r="S48" s="82" t="s">
        <v>1715</v>
      </c>
      <c r="T48" s="87" t="str">
        <f>HYPERLINK("http://www.youtube.com/channel/UCW8mXbeRxqKBuwr0ff_lK6A")</f>
        <v>http://www.youtube.com/channel/UCW8mXbeRxqKBuwr0ff_lK6A</v>
      </c>
      <c r="U48" s="82"/>
      <c r="V48" s="82" t="s">
        <v>2366</v>
      </c>
      <c r="W48" s="87" t="str">
        <f t="shared" si="1"/>
        <v>https://www.youtube.com/watch?v=sgOEGKDVvsg</v>
      </c>
      <c r="X48" s="82" t="s">
        <v>2384</v>
      </c>
      <c r="Y48" s="82">
        <v>0</v>
      </c>
      <c r="Z48" s="89">
        <v>45223.84523148148</v>
      </c>
      <c r="AA48" s="89">
        <v>45223.84523148148</v>
      </c>
      <c r="AB48" s="82"/>
      <c r="AC48" s="82"/>
      <c r="AD48" s="85" t="s">
        <v>2423</v>
      </c>
      <c r="AE48" s="84" t="str">
        <f>REPLACE(INDEX(GroupVertices[Group],MATCH("~"&amp;Edges[[#This Row],[Vertex 1]],GroupVertices[Vertex],0)),1,1,"")</f>
        <v>7</v>
      </c>
      <c r="AF48" s="84" t="str">
        <f>REPLACE(INDEX(GroupVertices[Group],MATCH("~"&amp;Edges[[#This Row],[Vertex 2]],GroupVertices[Vertex],0)),1,1,"")</f>
        <v>7</v>
      </c>
    </row>
    <row r="49" spans="1:32" ht="15">
      <c r="A49" s="66" t="s">
        <v>250</v>
      </c>
      <c r="B49" s="66" t="s">
        <v>899</v>
      </c>
      <c r="C49" s="67"/>
      <c r="D49" s="68"/>
      <c r="E49" s="69"/>
      <c r="F49" s="70"/>
      <c r="G49" s="67"/>
      <c r="H49" s="71"/>
      <c r="I49" s="72"/>
      <c r="J49" s="72"/>
      <c r="K49" s="35"/>
      <c r="L49" s="80">
        <v>49</v>
      </c>
      <c r="M49" s="80"/>
      <c r="N49" s="74"/>
      <c r="O49" s="82" t="s">
        <v>909</v>
      </c>
      <c r="P49" s="82" t="s">
        <v>197</v>
      </c>
      <c r="Q49" s="85" t="s">
        <v>956</v>
      </c>
      <c r="R49" s="82" t="s">
        <v>250</v>
      </c>
      <c r="S49" s="82" t="s">
        <v>1716</v>
      </c>
      <c r="T49" s="87" t="str">
        <f>HYPERLINK("http://www.youtube.com/channel/UC2uoVyPVdV1SG-HJejXHrHw")</f>
        <v>http://www.youtube.com/channel/UC2uoVyPVdV1SG-HJejXHrHw</v>
      </c>
      <c r="U49" s="82"/>
      <c r="V49" s="82" t="s">
        <v>2366</v>
      </c>
      <c r="W49" s="87" t="str">
        <f t="shared" si="1"/>
        <v>https://www.youtube.com/watch?v=sgOEGKDVvsg</v>
      </c>
      <c r="X49" s="82" t="s">
        <v>2384</v>
      </c>
      <c r="Y49" s="82">
        <v>0</v>
      </c>
      <c r="Z49" s="89">
        <v>45223.99407407407</v>
      </c>
      <c r="AA49" s="89">
        <v>45223.99407407407</v>
      </c>
      <c r="AB49" s="82"/>
      <c r="AC49" s="82"/>
      <c r="AD49" s="85" t="s">
        <v>2423</v>
      </c>
      <c r="AE49" s="84" t="str">
        <f>REPLACE(INDEX(GroupVertices[Group],MATCH("~"&amp;Edges[[#This Row],[Vertex 1]],GroupVertices[Vertex],0)),1,1,"")</f>
        <v>7</v>
      </c>
      <c r="AF49" s="84" t="str">
        <f>REPLACE(INDEX(GroupVertices[Group],MATCH("~"&amp;Edges[[#This Row],[Vertex 2]],GroupVertices[Vertex],0)),1,1,"")</f>
        <v>7</v>
      </c>
    </row>
    <row r="50" spans="1:32" ht="15">
      <c r="A50" s="66" t="s">
        <v>251</v>
      </c>
      <c r="B50" s="66" t="s">
        <v>899</v>
      </c>
      <c r="C50" s="67"/>
      <c r="D50" s="68"/>
      <c r="E50" s="69"/>
      <c r="F50" s="70"/>
      <c r="G50" s="67"/>
      <c r="H50" s="71"/>
      <c r="I50" s="72"/>
      <c r="J50" s="72"/>
      <c r="K50" s="35"/>
      <c r="L50" s="80">
        <v>50</v>
      </c>
      <c r="M50" s="80"/>
      <c r="N50" s="74"/>
      <c r="O50" s="82" t="s">
        <v>909</v>
      </c>
      <c r="P50" s="82" t="s">
        <v>197</v>
      </c>
      <c r="Q50" s="85" t="s">
        <v>957</v>
      </c>
      <c r="R50" s="82" t="s">
        <v>251</v>
      </c>
      <c r="S50" s="82" t="s">
        <v>1717</v>
      </c>
      <c r="T50" s="87" t="str">
        <f>HYPERLINK("http://www.youtube.com/channel/UCWWt6acTTjrHd7XZewFu9tg")</f>
        <v>http://www.youtube.com/channel/UCWWt6acTTjrHd7XZewFu9tg</v>
      </c>
      <c r="U50" s="82"/>
      <c r="V50" s="82" t="s">
        <v>2366</v>
      </c>
      <c r="W50" s="87" t="str">
        <f t="shared" si="1"/>
        <v>https://www.youtube.com/watch?v=sgOEGKDVvsg</v>
      </c>
      <c r="X50" s="82" t="s">
        <v>2384</v>
      </c>
      <c r="Y50" s="82">
        <v>0</v>
      </c>
      <c r="Z50" s="89">
        <v>45231.90361111111</v>
      </c>
      <c r="AA50" s="89">
        <v>45231.90361111111</v>
      </c>
      <c r="AB50" s="82"/>
      <c r="AC50" s="82"/>
      <c r="AD50" s="85" t="s">
        <v>2423</v>
      </c>
      <c r="AE50" s="84" t="str">
        <f>REPLACE(INDEX(GroupVertices[Group],MATCH("~"&amp;Edges[[#This Row],[Vertex 1]],GroupVertices[Vertex],0)),1,1,"")</f>
        <v>7</v>
      </c>
      <c r="AF50" s="84" t="str">
        <f>REPLACE(INDEX(GroupVertices[Group],MATCH("~"&amp;Edges[[#This Row],[Vertex 2]],GroupVertices[Vertex],0)),1,1,"")</f>
        <v>7</v>
      </c>
    </row>
    <row r="51" spans="1:32" ht="15">
      <c r="A51" s="66" t="s">
        <v>252</v>
      </c>
      <c r="B51" s="66" t="s">
        <v>899</v>
      </c>
      <c r="C51" s="67"/>
      <c r="D51" s="68"/>
      <c r="E51" s="69"/>
      <c r="F51" s="70"/>
      <c r="G51" s="67"/>
      <c r="H51" s="71"/>
      <c r="I51" s="72"/>
      <c r="J51" s="72"/>
      <c r="K51" s="35"/>
      <c r="L51" s="80">
        <v>51</v>
      </c>
      <c r="M51" s="80"/>
      <c r="N51" s="74"/>
      <c r="O51" s="82" t="s">
        <v>909</v>
      </c>
      <c r="P51" s="82" t="s">
        <v>197</v>
      </c>
      <c r="Q51" s="85" t="s">
        <v>958</v>
      </c>
      <c r="R51" s="82" t="s">
        <v>252</v>
      </c>
      <c r="S51" s="82" t="s">
        <v>1718</v>
      </c>
      <c r="T51" s="87" t="str">
        <f>HYPERLINK("http://www.youtube.com/channel/UCOOSkOE_VGhdDbLHUYNdAZA")</f>
        <v>http://www.youtube.com/channel/UCOOSkOE_VGhdDbLHUYNdAZA</v>
      </c>
      <c r="U51" s="82"/>
      <c r="V51" s="82" t="s">
        <v>2366</v>
      </c>
      <c r="W51" s="87" t="str">
        <f t="shared" si="1"/>
        <v>https://www.youtube.com/watch?v=sgOEGKDVvsg</v>
      </c>
      <c r="X51" s="82" t="s">
        <v>2384</v>
      </c>
      <c r="Y51" s="82">
        <v>1</v>
      </c>
      <c r="Z51" s="89">
        <v>45233.82699074074</v>
      </c>
      <c r="AA51" s="89">
        <v>45233.82699074074</v>
      </c>
      <c r="AB51" s="82"/>
      <c r="AC51" s="82"/>
      <c r="AD51" s="85" t="s">
        <v>2423</v>
      </c>
      <c r="AE51" s="84" t="str">
        <f>REPLACE(INDEX(GroupVertices[Group],MATCH("~"&amp;Edges[[#This Row],[Vertex 1]],GroupVertices[Vertex],0)),1,1,"")</f>
        <v>7</v>
      </c>
      <c r="AF51" s="84" t="str">
        <f>REPLACE(INDEX(GroupVertices[Group],MATCH("~"&amp;Edges[[#This Row],[Vertex 2]],GroupVertices[Vertex],0)),1,1,"")</f>
        <v>7</v>
      </c>
    </row>
    <row r="52" spans="1:32" ht="15">
      <c r="A52" s="66" t="s">
        <v>253</v>
      </c>
      <c r="B52" s="66" t="s">
        <v>899</v>
      </c>
      <c r="C52" s="67"/>
      <c r="D52" s="68"/>
      <c r="E52" s="69"/>
      <c r="F52" s="70"/>
      <c r="G52" s="67"/>
      <c r="H52" s="71"/>
      <c r="I52" s="72"/>
      <c r="J52" s="72"/>
      <c r="K52" s="35"/>
      <c r="L52" s="80">
        <v>52</v>
      </c>
      <c r="M52" s="80"/>
      <c r="N52" s="74"/>
      <c r="O52" s="82" t="s">
        <v>909</v>
      </c>
      <c r="P52" s="82" t="s">
        <v>197</v>
      </c>
      <c r="Q52" s="85" t="s">
        <v>959</v>
      </c>
      <c r="R52" s="82" t="s">
        <v>253</v>
      </c>
      <c r="S52" s="82" t="s">
        <v>1719</v>
      </c>
      <c r="T52" s="87" t="str">
        <f>HYPERLINK("http://www.youtube.com/channel/UCYRL6kOf4mR3DpkikwgJOBw")</f>
        <v>http://www.youtube.com/channel/UCYRL6kOf4mR3DpkikwgJOBw</v>
      </c>
      <c r="U52" s="82"/>
      <c r="V52" s="82" t="s">
        <v>2366</v>
      </c>
      <c r="W52" s="87" t="str">
        <f t="shared" si="1"/>
        <v>https://www.youtube.com/watch?v=sgOEGKDVvsg</v>
      </c>
      <c r="X52" s="82" t="s">
        <v>2384</v>
      </c>
      <c r="Y52" s="82">
        <v>0</v>
      </c>
      <c r="Z52" s="89">
        <v>45235.27510416666</v>
      </c>
      <c r="AA52" s="89">
        <v>45235.27510416666</v>
      </c>
      <c r="AB52" s="82"/>
      <c r="AC52" s="82"/>
      <c r="AD52" s="85" t="s">
        <v>2423</v>
      </c>
      <c r="AE52" s="84" t="str">
        <f>REPLACE(INDEX(GroupVertices[Group],MATCH("~"&amp;Edges[[#This Row],[Vertex 1]],GroupVertices[Vertex],0)),1,1,"")</f>
        <v>7</v>
      </c>
      <c r="AF52" s="84" t="str">
        <f>REPLACE(INDEX(GroupVertices[Group],MATCH("~"&amp;Edges[[#This Row],[Vertex 2]],GroupVertices[Vertex],0)),1,1,"")</f>
        <v>7</v>
      </c>
    </row>
    <row r="53" spans="1:32" ht="15">
      <c r="A53" s="66" t="s">
        <v>254</v>
      </c>
      <c r="B53" s="66" t="s">
        <v>899</v>
      </c>
      <c r="C53" s="67"/>
      <c r="D53" s="68"/>
      <c r="E53" s="69"/>
      <c r="F53" s="70"/>
      <c r="G53" s="67"/>
      <c r="H53" s="71"/>
      <c r="I53" s="72"/>
      <c r="J53" s="72"/>
      <c r="K53" s="35"/>
      <c r="L53" s="80">
        <v>53</v>
      </c>
      <c r="M53" s="80"/>
      <c r="N53" s="74"/>
      <c r="O53" s="82" t="s">
        <v>909</v>
      </c>
      <c r="P53" s="82" t="s">
        <v>197</v>
      </c>
      <c r="Q53" s="85" t="s">
        <v>960</v>
      </c>
      <c r="R53" s="82" t="s">
        <v>254</v>
      </c>
      <c r="S53" s="82" t="s">
        <v>1720</v>
      </c>
      <c r="T53" s="87" t="str">
        <f>HYPERLINK("http://www.youtube.com/channel/UC-bSGTu31rUMzINLD3EIF-g")</f>
        <v>http://www.youtube.com/channel/UC-bSGTu31rUMzINLD3EIF-g</v>
      </c>
      <c r="U53" s="82"/>
      <c r="V53" s="82" t="s">
        <v>2366</v>
      </c>
      <c r="W53" s="87" t="str">
        <f t="shared" si="1"/>
        <v>https://www.youtube.com/watch?v=sgOEGKDVvsg</v>
      </c>
      <c r="X53" s="82" t="s">
        <v>2384</v>
      </c>
      <c r="Y53" s="82">
        <v>0</v>
      </c>
      <c r="Z53" s="89">
        <v>45238.78734953704</v>
      </c>
      <c r="AA53" s="89">
        <v>45238.78734953704</v>
      </c>
      <c r="AB53" s="82"/>
      <c r="AC53" s="82"/>
      <c r="AD53" s="85" t="s">
        <v>2423</v>
      </c>
      <c r="AE53" s="84" t="str">
        <f>REPLACE(INDEX(GroupVertices[Group],MATCH("~"&amp;Edges[[#This Row],[Vertex 1]],GroupVertices[Vertex],0)),1,1,"")</f>
        <v>7</v>
      </c>
      <c r="AF53" s="84" t="str">
        <f>REPLACE(INDEX(GroupVertices[Group],MATCH("~"&amp;Edges[[#This Row],[Vertex 2]],GroupVertices[Vertex],0)),1,1,"")</f>
        <v>7</v>
      </c>
    </row>
    <row r="54" spans="1:32" ht="15">
      <c r="A54" s="66" t="s">
        <v>255</v>
      </c>
      <c r="B54" s="66" t="s">
        <v>899</v>
      </c>
      <c r="C54" s="67"/>
      <c r="D54" s="68"/>
      <c r="E54" s="69"/>
      <c r="F54" s="70"/>
      <c r="G54" s="67"/>
      <c r="H54" s="71"/>
      <c r="I54" s="72"/>
      <c r="J54" s="72"/>
      <c r="K54" s="35"/>
      <c r="L54" s="80">
        <v>54</v>
      </c>
      <c r="M54" s="80"/>
      <c r="N54" s="74"/>
      <c r="O54" s="82" t="s">
        <v>909</v>
      </c>
      <c r="P54" s="82" t="s">
        <v>197</v>
      </c>
      <c r="Q54" s="85" t="s">
        <v>961</v>
      </c>
      <c r="R54" s="82" t="s">
        <v>255</v>
      </c>
      <c r="S54" s="82" t="s">
        <v>1721</v>
      </c>
      <c r="T54" s="87" t="str">
        <f>HYPERLINK("http://www.youtube.com/channel/UCkPd8jucn5-zKLzPxIwrQHQ")</f>
        <v>http://www.youtube.com/channel/UCkPd8jucn5-zKLzPxIwrQHQ</v>
      </c>
      <c r="U54" s="82"/>
      <c r="V54" s="82" t="s">
        <v>2366</v>
      </c>
      <c r="W54" s="87" t="str">
        <f t="shared" si="1"/>
        <v>https://www.youtube.com/watch?v=sgOEGKDVvsg</v>
      </c>
      <c r="X54" s="82" t="s">
        <v>2384</v>
      </c>
      <c r="Y54" s="82">
        <v>0</v>
      </c>
      <c r="Z54" s="89">
        <v>45245.04827546296</v>
      </c>
      <c r="AA54" s="89">
        <v>45245.05636574074</v>
      </c>
      <c r="AB54" s="82"/>
      <c r="AC54" s="82"/>
      <c r="AD54" s="85" t="s">
        <v>2423</v>
      </c>
      <c r="AE54" s="84" t="str">
        <f>REPLACE(INDEX(GroupVertices[Group],MATCH("~"&amp;Edges[[#This Row],[Vertex 1]],GroupVertices[Vertex],0)),1,1,"")</f>
        <v>7</v>
      </c>
      <c r="AF54" s="84" t="str">
        <f>REPLACE(INDEX(GroupVertices[Group],MATCH("~"&amp;Edges[[#This Row],[Vertex 2]],GroupVertices[Vertex],0)),1,1,"")</f>
        <v>7</v>
      </c>
    </row>
    <row r="55" spans="1:32" ht="15">
      <c r="A55" s="66" t="s">
        <v>256</v>
      </c>
      <c r="B55" s="66" t="s">
        <v>899</v>
      </c>
      <c r="C55" s="67"/>
      <c r="D55" s="68"/>
      <c r="E55" s="69"/>
      <c r="F55" s="70"/>
      <c r="G55" s="67"/>
      <c r="H55" s="71"/>
      <c r="I55" s="72"/>
      <c r="J55" s="72"/>
      <c r="K55" s="35"/>
      <c r="L55" s="80">
        <v>55</v>
      </c>
      <c r="M55" s="80"/>
      <c r="N55" s="74"/>
      <c r="O55" s="82" t="s">
        <v>909</v>
      </c>
      <c r="P55" s="82" t="s">
        <v>197</v>
      </c>
      <c r="Q55" s="85" t="s">
        <v>962</v>
      </c>
      <c r="R55" s="82" t="s">
        <v>256</v>
      </c>
      <c r="S55" s="82" t="s">
        <v>1722</v>
      </c>
      <c r="T55" s="87" t="str">
        <f>HYPERLINK("http://www.youtube.com/channel/UCfEZ2T9kZNxSaT8kwrdvESA")</f>
        <v>http://www.youtube.com/channel/UCfEZ2T9kZNxSaT8kwrdvESA</v>
      </c>
      <c r="U55" s="82"/>
      <c r="V55" s="82" t="s">
        <v>2366</v>
      </c>
      <c r="W55" s="87" t="str">
        <f t="shared" si="1"/>
        <v>https://www.youtube.com/watch?v=sgOEGKDVvsg</v>
      </c>
      <c r="X55" s="82" t="s">
        <v>2384</v>
      </c>
      <c r="Y55" s="82">
        <v>0</v>
      </c>
      <c r="Z55" s="89">
        <v>45245.14267361111</v>
      </c>
      <c r="AA55" s="89">
        <v>45245.14267361111</v>
      </c>
      <c r="AB55" s="82"/>
      <c r="AC55" s="82"/>
      <c r="AD55" s="85" t="s">
        <v>2423</v>
      </c>
      <c r="AE55" s="84" t="str">
        <f>REPLACE(INDEX(GroupVertices[Group],MATCH("~"&amp;Edges[[#This Row],[Vertex 1]],GroupVertices[Vertex],0)),1,1,"")</f>
        <v>7</v>
      </c>
      <c r="AF55" s="84" t="str">
        <f>REPLACE(INDEX(GroupVertices[Group],MATCH("~"&amp;Edges[[#This Row],[Vertex 2]],GroupVertices[Vertex],0)),1,1,"")</f>
        <v>7</v>
      </c>
    </row>
    <row r="56" spans="1:32" ht="15">
      <c r="A56" s="66" t="s">
        <v>257</v>
      </c>
      <c r="B56" s="66" t="s">
        <v>899</v>
      </c>
      <c r="C56" s="67"/>
      <c r="D56" s="68"/>
      <c r="E56" s="69"/>
      <c r="F56" s="70"/>
      <c r="G56" s="67"/>
      <c r="H56" s="71"/>
      <c r="I56" s="72"/>
      <c r="J56" s="72"/>
      <c r="K56" s="35"/>
      <c r="L56" s="80">
        <v>56</v>
      </c>
      <c r="M56" s="80"/>
      <c r="N56" s="74"/>
      <c r="O56" s="82" t="s">
        <v>909</v>
      </c>
      <c r="P56" s="82" t="s">
        <v>197</v>
      </c>
      <c r="Q56" s="85" t="s">
        <v>963</v>
      </c>
      <c r="R56" s="82" t="s">
        <v>257</v>
      </c>
      <c r="S56" s="82" t="s">
        <v>1723</v>
      </c>
      <c r="T56" s="87" t="str">
        <f>HYPERLINK("http://www.youtube.com/channel/UCi_Gjw8prQ0L_mZDLnJFqiw")</f>
        <v>http://www.youtube.com/channel/UCi_Gjw8prQ0L_mZDLnJFqiw</v>
      </c>
      <c r="U56" s="82"/>
      <c r="V56" s="82" t="s">
        <v>2366</v>
      </c>
      <c r="W56" s="87" t="str">
        <f t="shared" si="1"/>
        <v>https://www.youtube.com/watch?v=sgOEGKDVvsg</v>
      </c>
      <c r="X56" s="82" t="s">
        <v>2384</v>
      </c>
      <c r="Y56" s="82">
        <v>1</v>
      </c>
      <c r="Z56" s="89">
        <v>45255.997569444444</v>
      </c>
      <c r="AA56" s="89">
        <v>45255.997569444444</v>
      </c>
      <c r="AB56" s="82"/>
      <c r="AC56" s="82"/>
      <c r="AD56" s="85" t="s">
        <v>2423</v>
      </c>
      <c r="AE56" s="84" t="str">
        <f>REPLACE(INDEX(GroupVertices[Group],MATCH("~"&amp;Edges[[#This Row],[Vertex 1]],GroupVertices[Vertex],0)),1,1,"")</f>
        <v>7</v>
      </c>
      <c r="AF56" s="84" t="str">
        <f>REPLACE(INDEX(GroupVertices[Group],MATCH("~"&amp;Edges[[#This Row],[Vertex 2]],GroupVertices[Vertex],0)),1,1,"")</f>
        <v>7</v>
      </c>
    </row>
    <row r="57" spans="1:32" ht="15">
      <c r="A57" s="66" t="s">
        <v>258</v>
      </c>
      <c r="B57" s="66" t="s">
        <v>899</v>
      </c>
      <c r="C57" s="67"/>
      <c r="D57" s="68"/>
      <c r="E57" s="69"/>
      <c r="F57" s="70"/>
      <c r="G57" s="67"/>
      <c r="H57" s="71"/>
      <c r="I57" s="72"/>
      <c r="J57" s="72"/>
      <c r="K57" s="35"/>
      <c r="L57" s="80">
        <v>57</v>
      </c>
      <c r="M57" s="80"/>
      <c r="N57" s="74"/>
      <c r="O57" s="82" t="s">
        <v>909</v>
      </c>
      <c r="P57" s="82" t="s">
        <v>197</v>
      </c>
      <c r="Q57" s="85" t="s">
        <v>964</v>
      </c>
      <c r="R57" s="82" t="s">
        <v>258</v>
      </c>
      <c r="S57" s="82" t="s">
        <v>1724</v>
      </c>
      <c r="T57" s="87" t="str">
        <f>HYPERLINK("http://www.youtube.com/channel/UCSvECkboYAtQTvv3MW_cxVQ")</f>
        <v>http://www.youtube.com/channel/UCSvECkboYAtQTvv3MW_cxVQ</v>
      </c>
      <c r="U57" s="82"/>
      <c r="V57" s="82" t="s">
        <v>2366</v>
      </c>
      <c r="W57" s="87" t="str">
        <f t="shared" si="1"/>
        <v>https://www.youtube.com/watch?v=sgOEGKDVvsg</v>
      </c>
      <c r="X57" s="82" t="s">
        <v>2384</v>
      </c>
      <c r="Y57" s="82">
        <v>0</v>
      </c>
      <c r="Z57" s="89">
        <v>45264.98792824074</v>
      </c>
      <c r="AA57" s="89">
        <v>45264.98792824074</v>
      </c>
      <c r="AB57" s="82"/>
      <c r="AC57" s="82"/>
      <c r="AD57" s="85" t="s">
        <v>2423</v>
      </c>
      <c r="AE57" s="84" t="str">
        <f>REPLACE(INDEX(GroupVertices[Group],MATCH("~"&amp;Edges[[#This Row],[Vertex 1]],GroupVertices[Vertex],0)),1,1,"")</f>
        <v>7</v>
      </c>
      <c r="AF57" s="84" t="str">
        <f>REPLACE(INDEX(GroupVertices[Group],MATCH("~"&amp;Edges[[#This Row],[Vertex 2]],GroupVertices[Vertex],0)),1,1,"")</f>
        <v>7</v>
      </c>
    </row>
    <row r="58" spans="1:32" ht="15">
      <c r="A58" s="66" t="s">
        <v>259</v>
      </c>
      <c r="B58" s="66" t="s">
        <v>899</v>
      </c>
      <c r="C58" s="67"/>
      <c r="D58" s="68"/>
      <c r="E58" s="69"/>
      <c r="F58" s="70"/>
      <c r="G58" s="67"/>
      <c r="H58" s="71"/>
      <c r="I58" s="72"/>
      <c r="J58" s="72"/>
      <c r="K58" s="35"/>
      <c r="L58" s="80">
        <v>58</v>
      </c>
      <c r="M58" s="80"/>
      <c r="N58" s="74"/>
      <c r="O58" s="82" t="s">
        <v>909</v>
      </c>
      <c r="P58" s="82" t="s">
        <v>197</v>
      </c>
      <c r="Q58" s="85" t="s">
        <v>965</v>
      </c>
      <c r="R58" s="82" t="s">
        <v>259</v>
      </c>
      <c r="S58" s="82" t="s">
        <v>1725</v>
      </c>
      <c r="T58" s="87" t="str">
        <f>HYPERLINK("http://www.youtube.com/channel/UCZwuPYeQu5eXyRWFmVrmZyA")</f>
        <v>http://www.youtube.com/channel/UCZwuPYeQu5eXyRWFmVrmZyA</v>
      </c>
      <c r="U58" s="82"/>
      <c r="V58" s="82" t="s">
        <v>2366</v>
      </c>
      <c r="W58" s="87" t="str">
        <f t="shared" si="1"/>
        <v>https://www.youtube.com/watch?v=sgOEGKDVvsg</v>
      </c>
      <c r="X58" s="82" t="s">
        <v>2384</v>
      </c>
      <c r="Y58" s="82">
        <v>0</v>
      </c>
      <c r="Z58" s="89">
        <v>45265.02563657407</v>
      </c>
      <c r="AA58" s="89">
        <v>45265.02563657407</v>
      </c>
      <c r="AB58" s="82"/>
      <c r="AC58" s="82"/>
      <c r="AD58" s="85" t="s">
        <v>2423</v>
      </c>
      <c r="AE58" s="84" t="str">
        <f>REPLACE(INDEX(GroupVertices[Group],MATCH("~"&amp;Edges[[#This Row],[Vertex 1]],GroupVertices[Vertex],0)),1,1,"")</f>
        <v>7</v>
      </c>
      <c r="AF58" s="84" t="str">
        <f>REPLACE(INDEX(GroupVertices[Group],MATCH("~"&amp;Edges[[#This Row],[Vertex 2]],GroupVertices[Vertex],0)),1,1,"")</f>
        <v>7</v>
      </c>
    </row>
    <row r="59" spans="1:32" ht="15">
      <c r="A59" s="66" t="s">
        <v>260</v>
      </c>
      <c r="B59" s="66" t="s">
        <v>899</v>
      </c>
      <c r="C59" s="67"/>
      <c r="D59" s="68"/>
      <c r="E59" s="69"/>
      <c r="F59" s="70"/>
      <c r="G59" s="67"/>
      <c r="H59" s="71"/>
      <c r="I59" s="72"/>
      <c r="J59" s="72"/>
      <c r="K59" s="35"/>
      <c r="L59" s="80">
        <v>59</v>
      </c>
      <c r="M59" s="80"/>
      <c r="N59" s="74"/>
      <c r="O59" s="82" t="s">
        <v>909</v>
      </c>
      <c r="P59" s="82" t="s">
        <v>197</v>
      </c>
      <c r="Q59" s="85" t="s">
        <v>966</v>
      </c>
      <c r="R59" s="82" t="s">
        <v>260</v>
      </c>
      <c r="S59" s="82" t="s">
        <v>1726</v>
      </c>
      <c r="T59" s="87" t="str">
        <f>HYPERLINK("http://www.youtube.com/channel/UCWFT9C9aSZPZ_1lyTGsTMJw")</f>
        <v>http://www.youtube.com/channel/UCWFT9C9aSZPZ_1lyTGsTMJw</v>
      </c>
      <c r="U59" s="82"/>
      <c r="V59" s="82" t="s">
        <v>2366</v>
      </c>
      <c r="W59" s="87" t="str">
        <f t="shared" si="1"/>
        <v>https://www.youtube.com/watch?v=sgOEGKDVvsg</v>
      </c>
      <c r="X59" s="82" t="s">
        <v>2384</v>
      </c>
      <c r="Y59" s="82">
        <v>1</v>
      </c>
      <c r="Z59" s="89">
        <v>45273.43716435185</v>
      </c>
      <c r="AA59" s="89">
        <v>45273.43716435185</v>
      </c>
      <c r="AB59" s="82"/>
      <c r="AC59" s="82"/>
      <c r="AD59" s="85" t="s">
        <v>2423</v>
      </c>
      <c r="AE59" s="84" t="str">
        <f>REPLACE(INDEX(GroupVertices[Group],MATCH("~"&amp;Edges[[#This Row],[Vertex 1]],GroupVertices[Vertex],0)),1,1,"")</f>
        <v>7</v>
      </c>
      <c r="AF59" s="84" t="str">
        <f>REPLACE(INDEX(GroupVertices[Group],MATCH("~"&amp;Edges[[#This Row],[Vertex 2]],GroupVertices[Vertex],0)),1,1,"")</f>
        <v>7</v>
      </c>
    </row>
    <row r="60" spans="1:32" ht="15">
      <c r="A60" s="66" t="s">
        <v>261</v>
      </c>
      <c r="B60" s="66" t="s">
        <v>899</v>
      </c>
      <c r="C60" s="67"/>
      <c r="D60" s="68"/>
      <c r="E60" s="69"/>
      <c r="F60" s="70"/>
      <c r="G60" s="67"/>
      <c r="H60" s="71"/>
      <c r="I60" s="72"/>
      <c r="J60" s="72"/>
      <c r="K60" s="35"/>
      <c r="L60" s="80">
        <v>60</v>
      </c>
      <c r="M60" s="80"/>
      <c r="N60" s="74"/>
      <c r="O60" s="82" t="s">
        <v>909</v>
      </c>
      <c r="P60" s="82" t="s">
        <v>197</v>
      </c>
      <c r="Q60" s="85" t="s">
        <v>967</v>
      </c>
      <c r="R60" s="82" t="s">
        <v>261</v>
      </c>
      <c r="S60" s="82" t="s">
        <v>1727</v>
      </c>
      <c r="T60" s="87" t="str">
        <f>HYPERLINK("http://www.youtube.com/channel/UCiNa7yDepQw78yq27hNkdPw")</f>
        <v>http://www.youtube.com/channel/UCiNa7yDepQw78yq27hNkdPw</v>
      </c>
      <c r="U60" s="82"/>
      <c r="V60" s="82" t="s">
        <v>2366</v>
      </c>
      <c r="W60" s="87" t="str">
        <f t="shared" si="1"/>
        <v>https://www.youtube.com/watch?v=sgOEGKDVvsg</v>
      </c>
      <c r="X60" s="82" t="s">
        <v>2384</v>
      </c>
      <c r="Y60" s="82">
        <v>0</v>
      </c>
      <c r="Z60" s="89">
        <v>45277.12774305556</v>
      </c>
      <c r="AA60" s="89">
        <v>45277.1303125</v>
      </c>
      <c r="AB60" s="82"/>
      <c r="AC60" s="82"/>
      <c r="AD60" s="85" t="s">
        <v>2423</v>
      </c>
      <c r="AE60" s="84" t="str">
        <f>REPLACE(INDEX(GroupVertices[Group],MATCH("~"&amp;Edges[[#This Row],[Vertex 1]],GroupVertices[Vertex],0)),1,1,"")</f>
        <v>7</v>
      </c>
      <c r="AF60" s="84" t="str">
        <f>REPLACE(INDEX(GroupVertices[Group],MATCH("~"&amp;Edges[[#This Row],[Vertex 2]],GroupVertices[Vertex],0)),1,1,"")</f>
        <v>7</v>
      </c>
    </row>
    <row r="61" spans="1:32" ht="15">
      <c r="A61" s="66" t="s">
        <v>262</v>
      </c>
      <c r="B61" s="66" t="s">
        <v>899</v>
      </c>
      <c r="C61" s="67"/>
      <c r="D61" s="68"/>
      <c r="E61" s="69"/>
      <c r="F61" s="70"/>
      <c r="G61" s="67"/>
      <c r="H61" s="71"/>
      <c r="I61" s="72"/>
      <c r="J61" s="72"/>
      <c r="K61" s="35"/>
      <c r="L61" s="80">
        <v>61</v>
      </c>
      <c r="M61" s="80"/>
      <c r="N61" s="74"/>
      <c r="O61" s="82" t="s">
        <v>909</v>
      </c>
      <c r="P61" s="82" t="s">
        <v>197</v>
      </c>
      <c r="Q61" s="85" t="s">
        <v>968</v>
      </c>
      <c r="R61" s="82" t="s">
        <v>262</v>
      </c>
      <c r="S61" s="82" t="s">
        <v>1728</v>
      </c>
      <c r="T61" s="87" t="str">
        <f>HYPERLINK("http://www.youtube.com/channel/UCHz7xvmc0e2lRryCV7RSoIw")</f>
        <v>http://www.youtube.com/channel/UCHz7xvmc0e2lRryCV7RSoIw</v>
      </c>
      <c r="U61" s="82"/>
      <c r="V61" s="82" t="s">
        <v>2366</v>
      </c>
      <c r="W61" s="87" t="str">
        <f t="shared" si="1"/>
        <v>https://www.youtube.com/watch?v=sgOEGKDVvsg</v>
      </c>
      <c r="X61" s="82" t="s">
        <v>2384</v>
      </c>
      <c r="Y61" s="82">
        <v>0</v>
      </c>
      <c r="Z61" s="89">
        <v>45278.37148148148</v>
      </c>
      <c r="AA61" s="89">
        <v>45278.37148148148</v>
      </c>
      <c r="AB61" s="82"/>
      <c r="AC61" s="82"/>
      <c r="AD61" s="85" t="s">
        <v>2423</v>
      </c>
      <c r="AE61" s="84" t="str">
        <f>REPLACE(INDEX(GroupVertices[Group],MATCH("~"&amp;Edges[[#This Row],[Vertex 1]],GroupVertices[Vertex],0)),1,1,"")</f>
        <v>7</v>
      </c>
      <c r="AF61" s="84" t="str">
        <f>REPLACE(INDEX(GroupVertices[Group],MATCH("~"&amp;Edges[[#This Row],[Vertex 2]],GroupVertices[Vertex],0)),1,1,"")</f>
        <v>7</v>
      </c>
    </row>
    <row r="62" spans="1:32" ht="15">
      <c r="A62" s="66" t="s">
        <v>263</v>
      </c>
      <c r="B62" s="66" t="s">
        <v>899</v>
      </c>
      <c r="C62" s="67"/>
      <c r="D62" s="68"/>
      <c r="E62" s="69"/>
      <c r="F62" s="70"/>
      <c r="G62" s="67"/>
      <c r="H62" s="71"/>
      <c r="I62" s="72"/>
      <c r="J62" s="72"/>
      <c r="K62" s="35"/>
      <c r="L62" s="80">
        <v>62</v>
      </c>
      <c r="M62" s="80"/>
      <c r="N62" s="74"/>
      <c r="O62" s="82" t="s">
        <v>909</v>
      </c>
      <c r="P62" s="82" t="s">
        <v>197</v>
      </c>
      <c r="Q62" s="85" t="s">
        <v>969</v>
      </c>
      <c r="R62" s="82" t="s">
        <v>263</v>
      </c>
      <c r="S62" s="82" t="s">
        <v>1729</v>
      </c>
      <c r="T62" s="87" t="str">
        <f>HYPERLINK("http://www.youtube.com/channel/UCbZmyPbbhbj_CWJ0pTqqBiQ")</f>
        <v>http://www.youtube.com/channel/UCbZmyPbbhbj_CWJ0pTqqBiQ</v>
      </c>
      <c r="U62" s="82"/>
      <c r="V62" s="82" t="s">
        <v>2366</v>
      </c>
      <c r="W62" s="87" t="str">
        <f t="shared" si="1"/>
        <v>https://www.youtube.com/watch?v=sgOEGKDVvsg</v>
      </c>
      <c r="X62" s="82" t="s">
        <v>2384</v>
      </c>
      <c r="Y62" s="82">
        <v>0</v>
      </c>
      <c r="Z62" s="89">
        <v>45301.02756944444</v>
      </c>
      <c r="AA62" s="89">
        <v>45301.02756944444</v>
      </c>
      <c r="AB62" s="82"/>
      <c r="AC62" s="82"/>
      <c r="AD62" s="85" t="s">
        <v>2423</v>
      </c>
      <c r="AE62" s="84" t="str">
        <f>REPLACE(INDEX(GroupVertices[Group],MATCH("~"&amp;Edges[[#This Row],[Vertex 1]],GroupVertices[Vertex],0)),1,1,"")</f>
        <v>7</v>
      </c>
      <c r="AF62" s="84" t="str">
        <f>REPLACE(INDEX(GroupVertices[Group],MATCH("~"&amp;Edges[[#This Row],[Vertex 2]],GroupVertices[Vertex],0)),1,1,"")</f>
        <v>7</v>
      </c>
    </row>
    <row r="63" spans="1:32" ht="15">
      <c r="A63" s="66" t="s">
        <v>264</v>
      </c>
      <c r="B63" s="66" t="s">
        <v>900</v>
      </c>
      <c r="C63" s="67"/>
      <c r="D63" s="68"/>
      <c r="E63" s="69"/>
      <c r="F63" s="70"/>
      <c r="G63" s="67"/>
      <c r="H63" s="71"/>
      <c r="I63" s="72"/>
      <c r="J63" s="72"/>
      <c r="K63" s="35"/>
      <c r="L63" s="80">
        <v>63</v>
      </c>
      <c r="M63" s="80"/>
      <c r="N63" s="74"/>
      <c r="O63" s="82" t="s">
        <v>909</v>
      </c>
      <c r="P63" s="82" t="s">
        <v>197</v>
      </c>
      <c r="Q63" s="85" t="s">
        <v>970</v>
      </c>
      <c r="R63" s="82" t="s">
        <v>264</v>
      </c>
      <c r="S63" s="82" t="s">
        <v>1730</v>
      </c>
      <c r="T63" s="87" t="str">
        <f>HYPERLINK("http://www.youtube.com/channel/UCogxbeiFyaHMpptIijqbpdg")</f>
        <v>http://www.youtube.com/channel/UCogxbeiFyaHMpptIijqbpdg</v>
      </c>
      <c r="U63" s="82"/>
      <c r="V63" s="82" t="s">
        <v>2367</v>
      </c>
      <c r="W63" s="87" t="str">
        <f>HYPERLINK("https://www.youtube.com/watch?v=AMOoO0p0Tbw")</f>
        <v>https://www.youtube.com/watch?v=AMOoO0p0Tbw</v>
      </c>
      <c r="X63" s="82" t="s">
        <v>2384</v>
      </c>
      <c r="Y63" s="82">
        <v>0</v>
      </c>
      <c r="Z63" s="89">
        <v>45310.26392361111</v>
      </c>
      <c r="AA63" s="89">
        <v>45310.26392361111</v>
      </c>
      <c r="AB63" s="82"/>
      <c r="AC63" s="82"/>
      <c r="AD63" s="85" t="s">
        <v>2423</v>
      </c>
      <c r="AE63" s="84" t="str">
        <f>REPLACE(INDEX(GroupVertices[Group],MATCH("~"&amp;Edges[[#This Row],[Vertex 1]],GroupVertices[Vertex],0)),1,1,"")</f>
        <v>9</v>
      </c>
      <c r="AF63" s="84" t="str">
        <f>REPLACE(INDEX(GroupVertices[Group],MATCH("~"&amp;Edges[[#This Row],[Vertex 2]],GroupVertices[Vertex],0)),1,1,"")</f>
        <v>9</v>
      </c>
    </row>
    <row r="64" spans="1:32" ht="15">
      <c r="A64" s="66" t="s">
        <v>265</v>
      </c>
      <c r="B64" s="66" t="s">
        <v>900</v>
      </c>
      <c r="C64" s="67"/>
      <c r="D64" s="68"/>
      <c r="E64" s="69"/>
      <c r="F64" s="70"/>
      <c r="G64" s="67"/>
      <c r="H64" s="71"/>
      <c r="I64" s="72"/>
      <c r="J64" s="72"/>
      <c r="K64" s="35"/>
      <c r="L64" s="80">
        <v>64</v>
      </c>
      <c r="M64" s="80"/>
      <c r="N64" s="74"/>
      <c r="O64" s="82" t="s">
        <v>909</v>
      </c>
      <c r="P64" s="82" t="s">
        <v>197</v>
      </c>
      <c r="Q64" s="85" t="s">
        <v>971</v>
      </c>
      <c r="R64" s="82" t="s">
        <v>265</v>
      </c>
      <c r="S64" s="82" t="s">
        <v>1731</v>
      </c>
      <c r="T64" s="87" t="str">
        <f>HYPERLINK("http://www.youtube.com/channel/UCBPu2lZKL7DrHPfsIKfJakA")</f>
        <v>http://www.youtube.com/channel/UCBPu2lZKL7DrHPfsIKfJakA</v>
      </c>
      <c r="U64" s="82"/>
      <c r="V64" s="82" t="s">
        <v>2367</v>
      </c>
      <c r="W64" s="87" t="str">
        <f>HYPERLINK("https://www.youtube.com/watch?v=AMOoO0p0Tbw")</f>
        <v>https://www.youtube.com/watch?v=AMOoO0p0Tbw</v>
      </c>
      <c r="X64" s="82" t="s">
        <v>2384</v>
      </c>
      <c r="Y64" s="82">
        <v>0</v>
      </c>
      <c r="Z64" s="89">
        <v>45311.313564814816</v>
      </c>
      <c r="AA64" s="89">
        <v>45311.313564814816</v>
      </c>
      <c r="AB64" s="82"/>
      <c r="AC64" s="82"/>
      <c r="AD64" s="85" t="s">
        <v>2423</v>
      </c>
      <c r="AE64" s="84" t="str">
        <f>REPLACE(INDEX(GroupVertices[Group],MATCH("~"&amp;Edges[[#This Row],[Vertex 1]],GroupVertices[Vertex],0)),1,1,"")</f>
        <v>9</v>
      </c>
      <c r="AF64" s="84" t="str">
        <f>REPLACE(INDEX(GroupVertices[Group],MATCH("~"&amp;Edges[[#This Row],[Vertex 2]],GroupVertices[Vertex],0)),1,1,"")</f>
        <v>9</v>
      </c>
    </row>
    <row r="65" spans="1:32" ht="15">
      <c r="A65" s="66" t="s">
        <v>266</v>
      </c>
      <c r="B65" s="66" t="s">
        <v>901</v>
      </c>
      <c r="C65" s="67"/>
      <c r="D65" s="68"/>
      <c r="E65" s="69"/>
      <c r="F65" s="70"/>
      <c r="G65" s="67"/>
      <c r="H65" s="71"/>
      <c r="I65" s="72"/>
      <c r="J65" s="72"/>
      <c r="K65" s="35"/>
      <c r="L65" s="80">
        <v>65</v>
      </c>
      <c r="M65" s="80"/>
      <c r="N65" s="74"/>
      <c r="O65" s="82" t="s">
        <v>909</v>
      </c>
      <c r="P65" s="82" t="s">
        <v>197</v>
      </c>
      <c r="Q65" s="85" t="s">
        <v>972</v>
      </c>
      <c r="R65" s="82" t="s">
        <v>266</v>
      </c>
      <c r="S65" s="82" t="s">
        <v>1732</v>
      </c>
      <c r="T65" s="87" t="str">
        <f>HYPERLINK("http://www.youtube.com/channel/UClzRHz4TVukcAYyYvaL0jTA")</f>
        <v>http://www.youtube.com/channel/UClzRHz4TVukcAYyYvaL0jTA</v>
      </c>
      <c r="U65" s="82"/>
      <c r="V65" s="82" t="s">
        <v>2368</v>
      </c>
      <c r="W65" s="87" t="str">
        <f aca="true" t="shared" si="2" ref="W65:W96">HYPERLINK("https://www.youtube.com/watch?v=gLvkWpnzba8")</f>
        <v>https://www.youtube.com/watch?v=gLvkWpnzba8</v>
      </c>
      <c r="X65" s="82" t="s">
        <v>2384</v>
      </c>
      <c r="Y65" s="82">
        <v>0</v>
      </c>
      <c r="Z65" s="89">
        <v>45252.124247685184</v>
      </c>
      <c r="AA65" s="89">
        <v>45252.124247685184</v>
      </c>
      <c r="AB65" s="82"/>
      <c r="AC65" s="82"/>
      <c r="AD65" s="85" t="s">
        <v>2423</v>
      </c>
      <c r="AE65" s="84" t="str">
        <f>REPLACE(INDEX(GroupVertices[Group],MATCH("~"&amp;Edges[[#This Row],[Vertex 1]],GroupVertices[Vertex],0)),1,1,"")</f>
        <v>6</v>
      </c>
      <c r="AF65" s="84" t="str">
        <f>REPLACE(INDEX(GroupVertices[Group],MATCH("~"&amp;Edges[[#This Row],[Vertex 2]],GroupVertices[Vertex],0)),1,1,"")</f>
        <v>6</v>
      </c>
    </row>
    <row r="66" spans="1:32" ht="15">
      <c r="A66" s="66" t="s">
        <v>267</v>
      </c>
      <c r="B66" s="66" t="s">
        <v>901</v>
      </c>
      <c r="C66" s="67"/>
      <c r="D66" s="68"/>
      <c r="E66" s="69"/>
      <c r="F66" s="70"/>
      <c r="G66" s="67"/>
      <c r="H66" s="71"/>
      <c r="I66" s="72"/>
      <c r="J66" s="72"/>
      <c r="K66" s="35"/>
      <c r="L66" s="80">
        <v>66</v>
      </c>
      <c r="M66" s="80"/>
      <c r="N66" s="74"/>
      <c r="O66" s="82" t="s">
        <v>909</v>
      </c>
      <c r="P66" s="82" t="s">
        <v>197</v>
      </c>
      <c r="Q66" s="85" t="s">
        <v>973</v>
      </c>
      <c r="R66" s="82" t="s">
        <v>267</v>
      </c>
      <c r="S66" s="82" t="s">
        <v>1733</v>
      </c>
      <c r="T66" s="87" t="str">
        <f>HYPERLINK("http://www.youtube.com/channel/UCRush-ISVwWdtDCdsH2y4UA")</f>
        <v>http://www.youtube.com/channel/UCRush-ISVwWdtDCdsH2y4UA</v>
      </c>
      <c r="U66" s="82"/>
      <c r="V66" s="82" t="s">
        <v>2368</v>
      </c>
      <c r="W66" s="87" t="str">
        <f t="shared" si="2"/>
        <v>https://www.youtube.com/watch?v=gLvkWpnzba8</v>
      </c>
      <c r="X66" s="82" t="s">
        <v>2384</v>
      </c>
      <c r="Y66" s="82">
        <v>1</v>
      </c>
      <c r="Z66" s="89">
        <v>45252.17398148148</v>
      </c>
      <c r="AA66" s="89">
        <v>45252.17398148148</v>
      </c>
      <c r="AB66" s="82"/>
      <c r="AC66" s="82"/>
      <c r="AD66" s="85" t="s">
        <v>2423</v>
      </c>
      <c r="AE66" s="84" t="str">
        <f>REPLACE(INDEX(GroupVertices[Group],MATCH("~"&amp;Edges[[#This Row],[Vertex 1]],GroupVertices[Vertex],0)),1,1,"")</f>
        <v>6</v>
      </c>
      <c r="AF66" s="84" t="str">
        <f>REPLACE(INDEX(GroupVertices[Group],MATCH("~"&amp;Edges[[#This Row],[Vertex 2]],GroupVertices[Vertex],0)),1,1,"")</f>
        <v>6</v>
      </c>
    </row>
    <row r="67" spans="1:32" ht="15">
      <c r="A67" s="66" t="s">
        <v>268</v>
      </c>
      <c r="B67" s="66" t="s">
        <v>901</v>
      </c>
      <c r="C67" s="67"/>
      <c r="D67" s="68"/>
      <c r="E67" s="69"/>
      <c r="F67" s="70"/>
      <c r="G67" s="67"/>
      <c r="H67" s="71"/>
      <c r="I67" s="72"/>
      <c r="J67" s="72"/>
      <c r="K67" s="35"/>
      <c r="L67" s="80">
        <v>67</v>
      </c>
      <c r="M67" s="80"/>
      <c r="N67" s="74"/>
      <c r="O67" s="82" t="s">
        <v>909</v>
      </c>
      <c r="P67" s="82" t="s">
        <v>197</v>
      </c>
      <c r="Q67" s="85" t="s">
        <v>974</v>
      </c>
      <c r="R67" s="82" t="s">
        <v>268</v>
      </c>
      <c r="S67" s="82" t="s">
        <v>1734</v>
      </c>
      <c r="T67" s="87" t="str">
        <f>HYPERLINK("http://www.youtube.com/channel/UC2bUDIMGYGfJkz7BuC6lBUA")</f>
        <v>http://www.youtube.com/channel/UC2bUDIMGYGfJkz7BuC6lBUA</v>
      </c>
      <c r="U67" s="82"/>
      <c r="V67" s="82" t="s">
        <v>2368</v>
      </c>
      <c r="W67" s="87" t="str">
        <f t="shared" si="2"/>
        <v>https://www.youtube.com/watch?v=gLvkWpnzba8</v>
      </c>
      <c r="X67" s="82" t="s">
        <v>2384</v>
      </c>
      <c r="Y67" s="82">
        <v>1</v>
      </c>
      <c r="Z67" s="89">
        <v>45252.21204861111</v>
      </c>
      <c r="AA67" s="89">
        <v>45252.21204861111</v>
      </c>
      <c r="AB67" s="82"/>
      <c r="AC67" s="82"/>
      <c r="AD67" s="85" t="s">
        <v>2423</v>
      </c>
      <c r="AE67" s="84" t="str">
        <f>REPLACE(INDEX(GroupVertices[Group],MATCH("~"&amp;Edges[[#This Row],[Vertex 1]],GroupVertices[Vertex],0)),1,1,"")</f>
        <v>6</v>
      </c>
      <c r="AF67" s="84" t="str">
        <f>REPLACE(INDEX(GroupVertices[Group],MATCH("~"&amp;Edges[[#This Row],[Vertex 2]],GroupVertices[Vertex],0)),1,1,"")</f>
        <v>6</v>
      </c>
    </row>
    <row r="68" spans="1:32" ht="15">
      <c r="A68" s="66" t="s">
        <v>269</v>
      </c>
      <c r="B68" s="66" t="s">
        <v>901</v>
      </c>
      <c r="C68" s="67"/>
      <c r="D68" s="68"/>
      <c r="E68" s="69"/>
      <c r="F68" s="70"/>
      <c r="G68" s="67"/>
      <c r="H68" s="71"/>
      <c r="I68" s="72"/>
      <c r="J68" s="72"/>
      <c r="K68" s="35"/>
      <c r="L68" s="80">
        <v>68</v>
      </c>
      <c r="M68" s="80"/>
      <c r="N68" s="74"/>
      <c r="O68" s="82" t="s">
        <v>909</v>
      </c>
      <c r="P68" s="82" t="s">
        <v>197</v>
      </c>
      <c r="Q68" s="85" t="s">
        <v>975</v>
      </c>
      <c r="R68" s="82" t="s">
        <v>269</v>
      </c>
      <c r="S68" s="82" t="s">
        <v>1735</v>
      </c>
      <c r="T68" s="87" t="str">
        <f>HYPERLINK("http://www.youtube.com/channel/UCDhi8KBbeMJTecZKFjzWOBw")</f>
        <v>http://www.youtube.com/channel/UCDhi8KBbeMJTecZKFjzWOBw</v>
      </c>
      <c r="U68" s="82"/>
      <c r="V68" s="82" t="s">
        <v>2368</v>
      </c>
      <c r="W68" s="87" t="str">
        <f t="shared" si="2"/>
        <v>https://www.youtube.com/watch?v=gLvkWpnzba8</v>
      </c>
      <c r="X68" s="82" t="s">
        <v>2384</v>
      </c>
      <c r="Y68" s="82">
        <v>1</v>
      </c>
      <c r="Z68" s="89">
        <v>45252.23347222222</v>
      </c>
      <c r="AA68" s="89">
        <v>45252.23347222222</v>
      </c>
      <c r="AB68" s="82"/>
      <c r="AC68" s="82"/>
      <c r="AD68" s="85" t="s">
        <v>2423</v>
      </c>
      <c r="AE68" s="84" t="str">
        <f>REPLACE(INDEX(GroupVertices[Group],MATCH("~"&amp;Edges[[#This Row],[Vertex 1]],GroupVertices[Vertex],0)),1,1,"")</f>
        <v>6</v>
      </c>
      <c r="AF68" s="84" t="str">
        <f>REPLACE(INDEX(GroupVertices[Group],MATCH("~"&amp;Edges[[#This Row],[Vertex 2]],GroupVertices[Vertex],0)),1,1,"")</f>
        <v>6</v>
      </c>
    </row>
    <row r="69" spans="1:32" ht="15">
      <c r="A69" s="66" t="s">
        <v>270</v>
      </c>
      <c r="B69" s="66" t="s">
        <v>901</v>
      </c>
      <c r="C69" s="67"/>
      <c r="D69" s="68"/>
      <c r="E69" s="69"/>
      <c r="F69" s="70"/>
      <c r="G69" s="67"/>
      <c r="H69" s="71"/>
      <c r="I69" s="72"/>
      <c r="J69" s="72"/>
      <c r="K69" s="35"/>
      <c r="L69" s="80">
        <v>69</v>
      </c>
      <c r="M69" s="80"/>
      <c r="N69" s="74"/>
      <c r="O69" s="82" t="s">
        <v>909</v>
      </c>
      <c r="P69" s="82" t="s">
        <v>197</v>
      </c>
      <c r="Q69" s="85" t="s">
        <v>976</v>
      </c>
      <c r="R69" s="82" t="s">
        <v>270</v>
      </c>
      <c r="S69" s="82" t="s">
        <v>1736</v>
      </c>
      <c r="T69" s="87" t="str">
        <f>HYPERLINK("http://www.youtube.com/channel/UCgga2sAhcs6ycsHwzWAYkig")</f>
        <v>http://www.youtube.com/channel/UCgga2sAhcs6ycsHwzWAYkig</v>
      </c>
      <c r="U69" s="82"/>
      <c r="V69" s="82" t="s">
        <v>2368</v>
      </c>
      <c r="W69" s="87" t="str">
        <f t="shared" si="2"/>
        <v>https://www.youtube.com/watch?v=gLvkWpnzba8</v>
      </c>
      <c r="X69" s="82" t="s">
        <v>2384</v>
      </c>
      <c r="Y69" s="82">
        <v>2</v>
      </c>
      <c r="Z69" s="89">
        <v>45252.56444444445</v>
      </c>
      <c r="AA69" s="89">
        <v>45252.56444444445</v>
      </c>
      <c r="AB69" s="82"/>
      <c r="AC69" s="82"/>
      <c r="AD69" s="85" t="s">
        <v>2423</v>
      </c>
      <c r="AE69" s="84" t="str">
        <f>REPLACE(INDEX(GroupVertices[Group],MATCH("~"&amp;Edges[[#This Row],[Vertex 1]],GroupVertices[Vertex],0)),1,1,"")</f>
        <v>6</v>
      </c>
      <c r="AF69" s="84" t="str">
        <f>REPLACE(INDEX(GroupVertices[Group],MATCH("~"&amp;Edges[[#This Row],[Vertex 2]],GroupVertices[Vertex],0)),1,1,"")</f>
        <v>6</v>
      </c>
    </row>
    <row r="70" spans="1:32" ht="15">
      <c r="A70" s="66" t="s">
        <v>271</v>
      </c>
      <c r="B70" s="66" t="s">
        <v>901</v>
      </c>
      <c r="C70" s="67"/>
      <c r="D70" s="68"/>
      <c r="E70" s="69"/>
      <c r="F70" s="70"/>
      <c r="G70" s="67"/>
      <c r="H70" s="71"/>
      <c r="I70" s="72"/>
      <c r="J70" s="72"/>
      <c r="K70" s="35"/>
      <c r="L70" s="80">
        <v>70</v>
      </c>
      <c r="M70" s="80"/>
      <c r="N70" s="74"/>
      <c r="O70" s="82" t="s">
        <v>909</v>
      </c>
      <c r="P70" s="82" t="s">
        <v>197</v>
      </c>
      <c r="Q70" s="85" t="s">
        <v>977</v>
      </c>
      <c r="R70" s="82" t="s">
        <v>271</v>
      </c>
      <c r="S70" s="82" t="s">
        <v>1737</v>
      </c>
      <c r="T70" s="87" t="str">
        <f>HYPERLINK("http://www.youtube.com/channel/UChDKmyCeNolPtR0jQVDEkCg")</f>
        <v>http://www.youtube.com/channel/UChDKmyCeNolPtR0jQVDEkCg</v>
      </c>
      <c r="U70" s="82"/>
      <c r="V70" s="82" t="s">
        <v>2368</v>
      </c>
      <c r="W70" s="87" t="str">
        <f t="shared" si="2"/>
        <v>https://www.youtube.com/watch?v=gLvkWpnzba8</v>
      </c>
      <c r="X70" s="82" t="s">
        <v>2384</v>
      </c>
      <c r="Y70" s="82">
        <v>0</v>
      </c>
      <c r="Z70" s="89">
        <v>45252.59950231481</v>
      </c>
      <c r="AA70" s="89">
        <v>45252.59950231481</v>
      </c>
      <c r="AB70" s="82"/>
      <c r="AC70" s="82"/>
      <c r="AD70" s="85" t="s">
        <v>2423</v>
      </c>
      <c r="AE70" s="84" t="str">
        <f>REPLACE(INDEX(GroupVertices[Group],MATCH("~"&amp;Edges[[#This Row],[Vertex 1]],GroupVertices[Vertex],0)),1,1,"")</f>
        <v>6</v>
      </c>
      <c r="AF70" s="84" t="str">
        <f>REPLACE(INDEX(GroupVertices[Group],MATCH("~"&amp;Edges[[#This Row],[Vertex 2]],GroupVertices[Vertex],0)),1,1,"")</f>
        <v>6</v>
      </c>
    </row>
    <row r="71" spans="1:32" ht="15">
      <c r="A71" s="66" t="s">
        <v>271</v>
      </c>
      <c r="B71" s="66" t="s">
        <v>901</v>
      </c>
      <c r="C71" s="67"/>
      <c r="D71" s="68"/>
      <c r="E71" s="69"/>
      <c r="F71" s="70"/>
      <c r="G71" s="67"/>
      <c r="H71" s="71"/>
      <c r="I71" s="72"/>
      <c r="J71" s="72"/>
      <c r="K71" s="35"/>
      <c r="L71" s="80">
        <v>71</v>
      </c>
      <c r="M71" s="80"/>
      <c r="N71" s="74"/>
      <c r="O71" s="82" t="s">
        <v>909</v>
      </c>
      <c r="P71" s="82" t="s">
        <v>197</v>
      </c>
      <c r="Q71" s="85" t="s">
        <v>978</v>
      </c>
      <c r="R71" s="82" t="s">
        <v>271</v>
      </c>
      <c r="S71" s="82" t="s">
        <v>1737</v>
      </c>
      <c r="T71" s="87" t="str">
        <f>HYPERLINK("http://www.youtube.com/channel/UChDKmyCeNolPtR0jQVDEkCg")</f>
        <v>http://www.youtube.com/channel/UChDKmyCeNolPtR0jQVDEkCg</v>
      </c>
      <c r="U71" s="82"/>
      <c r="V71" s="82" t="s">
        <v>2368</v>
      </c>
      <c r="W71" s="87" t="str">
        <f t="shared" si="2"/>
        <v>https://www.youtube.com/watch?v=gLvkWpnzba8</v>
      </c>
      <c r="X71" s="82" t="s">
        <v>2384</v>
      </c>
      <c r="Y71" s="82">
        <v>0</v>
      </c>
      <c r="Z71" s="89">
        <v>45252.599965277775</v>
      </c>
      <c r="AA71" s="89">
        <v>45252.599965277775</v>
      </c>
      <c r="AB71" s="82"/>
      <c r="AC71" s="82"/>
      <c r="AD71" s="85" t="s">
        <v>2423</v>
      </c>
      <c r="AE71" s="84" t="str">
        <f>REPLACE(INDEX(GroupVertices[Group],MATCH("~"&amp;Edges[[#This Row],[Vertex 1]],GroupVertices[Vertex],0)),1,1,"")</f>
        <v>6</v>
      </c>
      <c r="AF71" s="84" t="str">
        <f>REPLACE(INDEX(GroupVertices[Group],MATCH("~"&amp;Edges[[#This Row],[Vertex 2]],GroupVertices[Vertex],0)),1,1,"")</f>
        <v>6</v>
      </c>
    </row>
    <row r="72" spans="1:32" ht="15">
      <c r="A72" s="66" t="s">
        <v>271</v>
      </c>
      <c r="B72" s="66" t="s">
        <v>901</v>
      </c>
      <c r="C72" s="67"/>
      <c r="D72" s="68"/>
      <c r="E72" s="69"/>
      <c r="F72" s="70"/>
      <c r="G72" s="67"/>
      <c r="H72" s="71"/>
      <c r="I72" s="72"/>
      <c r="J72" s="72"/>
      <c r="K72" s="35"/>
      <c r="L72" s="80">
        <v>72</v>
      </c>
      <c r="M72" s="80"/>
      <c r="N72" s="74"/>
      <c r="O72" s="82" t="s">
        <v>909</v>
      </c>
      <c r="P72" s="82" t="s">
        <v>197</v>
      </c>
      <c r="Q72" s="85" t="s">
        <v>979</v>
      </c>
      <c r="R72" s="82" t="s">
        <v>271</v>
      </c>
      <c r="S72" s="82" t="s">
        <v>1737</v>
      </c>
      <c r="T72" s="87" t="str">
        <f>HYPERLINK("http://www.youtube.com/channel/UChDKmyCeNolPtR0jQVDEkCg")</f>
        <v>http://www.youtube.com/channel/UChDKmyCeNolPtR0jQVDEkCg</v>
      </c>
      <c r="U72" s="82"/>
      <c r="V72" s="82" t="s">
        <v>2368</v>
      </c>
      <c r="W72" s="87" t="str">
        <f t="shared" si="2"/>
        <v>https://www.youtube.com/watch?v=gLvkWpnzba8</v>
      </c>
      <c r="X72" s="82" t="s">
        <v>2384</v>
      </c>
      <c r="Y72" s="82">
        <v>1</v>
      </c>
      <c r="Z72" s="89">
        <v>45252.60271990741</v>
      </c>
      <c r="AA72" s="89">
        <v>45252.60271990741</v>
      </c>
      <c r="AB72" s="82"/>
      <c r="AC72" s="82"/>
      <c r="AD72" s="85" t="s">
        <v>2423</v>
      </c>
      <c r="AE72" s="84" t="str">
        <f>REPLACE(INDEX(GroupVertices[Group],MATCH("~"&amp;Edges[[#This Row],[Vertex 1]],GroupVertices[Vertex],0)),1,1,"")</f>
        <v>6</v>
      </c>
      <c r="AF72" s="84" t="str">
        <f>REPLACE(INDEX(GroupVertices[Group],MATCH("~"&amp;Edges[[#This Row],[Vertex 2]],GroupVertices[Vertex],0)),1,1,"")</f>
        <v>6</v>
      </c>
    </row>
    <row r="73" spans="1:32" ht="15">
      <c r="A73" s="66" t="s">
        <v>272</v>
      </c>
      <c r="B73" s="66" t="s">
        <v>901</v>
      </c>
      <c r="C73" s="67"/>
      <c r="D73" s="68"/>
      <c r="E73" s="69"/>
      <c r="F73" s="70"/>
      <c r="G73" s="67"/>
      <c r="H73" s="71"/>
      <c r="I73" s="72"/>
      <c r="J73" s="72"/>
      <c r="K73" s="35"/>
      <c r="L73" s="80">
        <v>73</v>
      </c>
      <c r="M73" s="80"/>
      <c r="N73" s="74"/>
      <c r="O73" s="82" t="s">
        <v>909</v>
      </c>
      <c r="P73" s="82" t="s">
        <v>197</v>
      </c>
      <c r="Q73" s="85" t="s">
        <v>980</v>
      </c>
      <c r="R73" s="82" t="s">
        <v>272</v>
      </c>
      <c r="S73" s="82" t="s">
        <v>1738</v>
      </c>
      <c r="T73" s="87" t="str">
        <f>HYPERLINK("http://www.youtube.com/channel/UChdhftUxKH7pDMCcmYVFMfQ")</f>
        <v>http://www.youtube.com/channel/UChdhftUxKH7pDMCcmYVFMfQ</v>
      </c>
      <c r="U73" s="82"/>
      <c r="V73" s="82" t="s">
        <v>2368</v>
      </c>
      <c r="W73" s="87" t="str">
        <f t="shared" si="2"/>
        <v>https://www.youtube.com/watch?v=gLvkWpnzba8</v>
      </c>
      <c r="X73" s="82" t="s">
        <v>2384</v>
      </c>
      <c r="Y73" s="82">
        <v>0</v>
      </c>
      <c r="Z73" s="89">
        <v>45252.635358796295</v>
      </c>
      <c r="AA73" s="89">
        <v>45252.635358796295</v>
      </c>
      <c r="AB73" s="82"/>
      <c r="AC73" s="82"/>
      <c r="AD73" s="85" t="s">
        <v>2423</v>
      </c>
      <c r="AE73" s="84" t="str">
        <f>REPLACE(INDEX(GroupVertices[Group],MATCH("~"&amp;Edges[[#This Row],[Vertex 1]],GroupVertices[Vertex],0)),1,1,"")</f>
        <v>6</v>
      </c>
      <c r="AF73" s="84" t="str">
        <f>REPLACE(INDEX(GroupVertices[Group],MATCH("~"&amp;Edges[[#This Row],[Vertex 2]],GroupVertices[Vertex],0)),1,1,"")</f>
        <v>6</v>
      </c>
    </row>
    <row r="74" spans="1:32" ht="15">
      <c r="A74" s="66" t="s">
        <v>273</v>
      </c>
      <c r="B74" s="66" t="s">
        <v>901</v>
      </c>
      <c r="C74" s="67"/>
      <c r="D74" s="68"/>
      <c r="E74" s="69"/>
      <c r="F74" s="70"/>
      <c r="G74" s="67"/>
      <c r="H74" s="71"/>
      <c r="I74" s="72"/>
      <c r="J74" s="72"/>
      <c r="K74" s="35"/>
      <c r="L74" s="80">
        <v>74</v>
      </c>
      <c r="M74" s="80"/>
      <c r="N74" s="74"/>
      <c r="O74" s="82" t="s">
        <v>909</v>
      </c>
      <c r="P74" s="82" t="s">
        <v>197</v>
      </c>
      <c r="Q74" s="85" t="s">
        <v>981</v>
      </c>
      <c r="R74" s="82" t="s">
        <v>273</v>
      </c>
      <c r="S74" s="82" t="s">
        <v>1739</v>
      </c>
      <c r="T74" s="87" t="str">
        <f>HYPERLINK("http://www.youtube.com/channel/UCmZ3N80NHmP_3QlE4hluhVg")</f>
        <v>http://www.youtube.com/channel/UCmZ3N80NHmP_3QlE4hluhVg</v>
      </c>
      <c r="U74" s="82"/>
      <c r="V74" s="82" t="s">
        <v>2368</v>
      </c>
      <c r="W74" s="87" t="str">
        <f t="shared" si="2"/>
        <v>https://www.youtube.com/watch?v=gLvkWpnzba8</v>
      </c>
      <c r="X74" s="82" t="s">
        <v>2384</v>
      </c>
      <c r="Y74" s="82">
        <v>0</v>
      </c>
      <c r="Z74" s="89">
        <v>45252.68082175926</v>
      </c>
      <c r="AA74" s="89">
        <v>45252.68082175926</v>
      </c>
      <c r="AB74" s="82"/>
      <c r="AC74" s="82"/>
      <c r="AD74" s="85" t="s">
        <v>2423</v>
      </c>
      <c r="AE74" s="84" t="str">
        <f>REPLACE(INDEX(GroupVertices[Group],MATCH("~"&amp;Edges[[#This Row],[Vertex 1]],GroupVertices[Vertex],0)),1,1,"")</f>
        <v>6</v>
      </c>
      <c r="AF74" s="84" t="str">
        <f>REPLACE(INDEX(GroupVertices[Group],MATCH("~"&amp;Edges[[#This Row],[Vertex 2]],GroupVertices[Vertex],0)),1,1,"")</f>
        <v>6</v>
      </c>
    </row>
    <row r="75" spans="1:32" ht="15">
      <c r="A75" s="66" t="s">
        <v>274</v>
      </c>
      <c r="B75" s="66" t="s">
        <v>901</v>
      </c>
      <c r="C75" s="67"/>
      <c r="D75" s="68"/>
      <c r="E75" s="69"/>
      <c r="F75" s="70"/>
      <c r="G75" s="67"/>
      <c r="H75" s="71"/>
      <c r="I75" s="72"/>
      <c r="J75" s="72"/>
      <c r="K75" s="35"/>
      <c r="L75" s="80">
        <v>75</v>
      </c>
      <c r="M75" s="80"/>
      <c r="N75" s="74"/>
      <c r="O75" s="82" t="s">
        <v>909</v>
      </c>
      <c r="P75" s="82" t="s">
        <v>197</v>
      </c>
      <c r="Q75" s="85" t="s">
        <v>982</v>
      </c>
      <c r="R75" s="82" t="s">
        <v>274</v>
      </c>
      <c r="S75" s="82" t="s">
        <v>1740</v>
      </c>
      <c r="T75" s="87" t="str">
        <f>HYPERLINK("http://www.youtube.com/channel/UC-8tmIcaoZnzZPhFs-iGERQ")</f>
        <v>http://www.youtube.com/channel/UC-8tmIcaoZnzZPhFs-iGERQ</v>
      </c>
      <c r="U75" s="82"/>
      <c r="V75" s="82" t="s">
        <v>2368</v>
      </c>
      <c r="W75" s="87" t="str">
        <f t="shared" si="2"/>
        <v>https://www.youtube.com/watch?v=gLvkWpnzba8</v>
      </c>
      <c r="X75" s="82" t="s">
        <v>2384</v>
      </c>
      <c r="Y75" s="82">
        <v>0</v>
      </c>
      <c r="Z75" s="89">
        <v>45252.88396990741</v>
      </c>
      <c r="AA75" s="89">
        <v>45252.88396990741</v>
      </c>
      <c r="AB75" s="82"/>
      <c r="AC75" s="82"/>
      <c r="AD75" s="85" t="s">
        <v>2423</v>
      </c>
      <c r="AE75" s="84" t="str">
        <f>REPLACE(INDEX(GroupVertices[Group],MATCH("~"&amp;Edges[[#This Row],[Vertex 1]],GroupVertices[Vertex],0)),1,1,"")</f>
        <v>6</v>
      </c>
      <c r="AF75" s="84" t="str">
        <f>REPLACE(INDEX(GroupVertices[Group],MATCH("~"&amp;Edges[[#This Row],[Vertex 2]],GroupVertices[Vertex],0)),1,1,"")</f>
        <v>6</v>
      </c>
    </row>
    <row r="76" spans="1:32" ht="15">
      <c r="A76" s="66" t="s">
        <v>274</v>
      </c>
      <c r="B76" s="66" t="s">
        <v>901</v>
      </c>
      <c r="C76" s="67"/>
      <c r="D76" s="68"/>
      <c r="E76" s="69"/>
      <c r="F76" s="70"/>
      <c r="G76" s="67"/>
      <c r="H76" s="71"/>
      <c r="I76" s="72"/>
      <c r="J76" s="72"/>
      <c r="K76" s="35"/>
      <c r="L76" s="80">
        <v>76</v>
      </c>
      <c r="M76" s="80"/>
      <c r="N76" s="74"/>
      <c r="O76" s="82" t="s">
        <v>909</v>
      </c>
      <c r="P76" s="82" t="s">
        <v>197</v>
      </c>
      <c r="Q76" s="85" t="s">
        <v>983</v>
      </c>
      <c r="R76" s="82" t="s">
        <v>274</v>
      </c>
      <c r="S76" s="82" t="s">
        <v>1740</v>
      </c>
      <c r="T76" s="87" t="str">
        <f>HYPERLINK("http://www.youtube.com/channel/UC-8tmIcaoZnzZPhFs-iGERQ")</f>
        <v>http://www.youtube.com/channel/UC-8tmIcaoZnzZPhFs-iGERQ</v>
      </c>
      <c r="U76" s="82"/>
      <c r="V76" s="82" t="s">
        <v>2368</v>
      </c>
      <c r="W76" s="87" t="str">
        <f t="shared" si="2"/>
        <v>https://www.youtube.com/watch?v=gLvkWpnzba8</v>
      </c>
      <c r="X76" s="82" t="s">
        <v>2384</v>
      </c>
      <c r="Y76" s="82">
        <v>0</v>
      </c>
      <c r="Z76" s="89">
        <v>45252.886608796296</v>
      </c>
      <c r="AA76" s="89">
        <v>45252.886608796296</v>
      </c>
      <c r="AB76" s="82"/>
      <c r="AC76" s="82"/>
      <c r="AD76" s="85" t="s">
        <v>2423</v>
      </c>
      <c r="AE76" s="84" t="str">
        <f>REPLACE(INDEX(GroupVertices[Group],MATCH("~"&amp;Edges[[#This Row],[Vertex 1]],GroupVertices[Vertex],0)),1,1,"")</f>
        <v>6</v>
      </c>
      <c r="AF76" s="84" t="str">
        <f>REPLACE(INDEX(GroupVertices[Group],MATCH("~"&amp;Edges[[#This Row],[Vertex 2]],GroupVertices[Vertex],0)),1,1,"")</f>
        <v>6</v>
      </c>
    </row>
    <row r="77" spans="1:32" ht="15">
      <c r="A77" s="66" t="s">
        <v>275</v>
      </c>
      <c r="B77" s="66" t="s">
        <v>901</v>
      </c>
      <c r="C77" s="67"/>
      <c r="D77" s="68"/>
      <c r="E77" s="69"/>
      <c r="F77" s="70"/>
      <c r="G77" s="67"/>
      <c r="H77" s="71"/>
      <c r="I77" s="72"/>
      <c r="J77" s="72"/>
      <c r="K77" s="35"/>
      <c r="L77" s="80">
        <v>77</v>
      </c>
      <c r="M77" s="80"/>
      <c r="N77" s="74"/>
      <c r="O77" s="82" t="s">
        <v>909</v>
      </c>
      <c r="P77" s="82" t="s">
        <v>197</v>
      </c>
      <c r="Q77" s="85" t="s">
        <v>984</v>
      </c>
      <c r="R77" s="82" t="s">
        <v>275</v>
      </c>
      <c r="S77" s="82" t="s">
        <v>1741</v>
      </c>
      <c r="T77" s="87" t="str">
        <f>HYPERLINK("http://www.youtube.com/channel/UC-3y5qLmMNxPm_KEVJnwbMA")</f>
        <v>http://www.youtube.com/channel/UC-3y5qLmMNxPm_KEVJnwbMA</v>
      </c>
      <c r="U77" s="82"/>
      <c r="V77" s="82" t="s">
        <v>2368</v>
      </c>
      <c r="W77" s="87" t="str">
        <f t="shared" si="2"/>
        <v>https://www.youtube.com/watch?v=gLvkWpnzba8</v>
      </c>
      <c r="X77" s="82" t="s">
        <v>2384</v>
      </c>
      <c r="Y77" s="82">
        <v>1</v>
      </c>
      <c r="Z77" s="89">
        <v>45253.32877314815</v>
      </c>
      <c r="AA77" s="89">
        <v>45253.32877314815</v>
      </c>
      <c r="AB77" s="82"/>
      <c r="AC77" s="82"/>
      <c r="AD77" s="85" t="s">
        <v>2423</v>
      </c>
      <c r="AE77" s="84" t="str">
        <f>REPLACE(INDEX(GroupVertices[Group],MATCH("~"&amp;Edges[[#This Row],[Vertex 1]],GroupVertices[Vertex],0)),1,1,"")</f>
        <v>6</v>
      </c>
      <c r="AF77" s="84" t="str">
        <f>REPLACE(INDEX(GroupVertices[Group],MATCH("~"&amp;Edges[[#This Row],[Vertex 2]],GroupVertices[Vertex],0)),1,1,"")</f>
        <v>6</v>
      </c>
    </row>
    <row r="78" spans="1:32" ht="15">
      <c r="A78" s="66" t="s">
        <v>276</v>
      </c>
      <c r="B78" s="66" t="s">
        <v>901</v>
      </c>
      <c r="C78" s="67"/>
      <c r="D78" s="68"/>
      <c r="E78" s="69"/>
      <c r="F78" s="70"/>
      <c r="G78" s="67"/>
      <c r="H78" s="71"/>
      <c r="I78" s="72"/>
      <c r="J78" s="72"/>
      <c r="K78" s="35"/>
      <c r="L78" s="80">
        <v>78</v>
      </c>
      <c r="M78" s="80"/>
      <c r="N78" s="74"/>
      <c r="O78" s="82" t="s">
        <v>909</v>
      </c>
      <c r="P78" s="82" t="s">
        <v>197</v>
      </c>
      <c r="Q78" s="85" t="s">
        <v>985</v>
      </c>
      <c r="R78" s="82" t="s">
        <v>276</v>
      </c>
      <c r="S78" s="82" t="s">
        <v>1742</v>
      </c>
      <c r="T78" s="87" t="str">
        <f>HYPERLINK("http://www.youtube.com/channel/UCcyTgxpW2pVRXW_TjRuT8pQ")</f>
        <v>http://www.youtube.com/channel/UCcyTgxpW2pVRXW_TjRuT8pQ</v>
      </c>
      <c r="U78" s="82"/>
      <c r="V78" s="82" t="s">
        <v>2368</v>
      </c>
      <c r="W78" s="87" t="str">
        <f t="shared" si="2"/>
        <v>https://www.youtube.com/watch?v=gLvkWpnzba8</v>
      </c>
      <c r="X78" s="82" t="s">
        <v>2384</v>
      </c>
      <c r="Y78" s="82">
        <v>2</v>
      </c>
      <c r="Z78" s="89">
        <v>45253.60108796296</v>
      </c>
      <c r="AA78" s="89">
        <v>45253.60108796296</v>
      </c>
      <c r="AB78" s="82" t="s">
        <v>2389</v>
      </c>
      <c r="AC78" s="82" t="s">
        <v>2414</v>
      </c>
      <c r="AD78" s="85" t="s">
        <v>2423</v>
      </c>
      <c r="AE78" s="84" t="str">
        <f>REPLACE(INDEX(GroupVertices[Group],MATCH("~"&amp;Edges[[#This Row],[Vertex 1]],GroupVertices[Vertex],0)),1,1,"")</f>
        <v>6</v>
      </c>
      <c r="AF78" s="84" t="str">
        <f>REPLACE(INDEX(GroupVertices[Group],MATCH("~"&amp;Edges[[#This Row],[Vertex 2]],GroupVertices[Vertex],0)),1,1,"")</f>
        <v>6</v>
      </c>
    </row>
    <row r="79" spans="1:32" ht="15">
      <c r="A79" s="66" t="s">
        <v>277</v>
      </c>
      <c r="B79" s="66" t="s">
        <v>901</v>
      </c>
      <c r="C79" s="67"/>
      <c r="D79" s="68"/>
      <c r="E79" s="69"/>
      <c r="F79" s="70"/>
      <c r="G79" s="67"/>
      <c r="H79" s="71"/>
      <c r="I79" s="72"/>
      <c r="J79" s="72"/>
      <c r="K79" s="35"/>
      <c r="L79" s="80">
        <v>79</v>
      </c>
      <c r="M79" s="80"/>
      <c r="N79" s="74"/>
      <c r="O79" s="82" t="s">
        <v>909</v>
      </c>
      <c r="P79" s="82" t="s">
        <v>197</v>
      </c>
      <c r="Q79" s="85" t="s">
        <v>986</v>
      </c>
      <c r="R79" s="82" t="s">
        <v>277</v>
      </c>
      <c r="S79" s="82" t="s">
        <v>1743</v>
      </c>
      <c r="T79" s="87" t="str">
        <f>HYPERLINK("http://www.youtube.com/channel/UCgTqMedX0BlGte8ZTAYz6XA")</f>
        <v>http://www.youtube.com/channel/UCgTqMedX0BlGte8ZTAYz6XA</v>
      </c>
      <c r="U79" s="82"/>
      <c r="V79" s="82" t="s">
        <v>2368</v>
      </c>
      <c r="W79" s="87" t="str">
        <f t="shared" si="2"/>
        <v>https://www.youtube.com/watch?v=gLvkWpnzba8</v>
      </c>
      <c r="X79" s="82" t="s">
        <v>2384</v>
      </c>
      <c r="Y79" s="82">
        <v>2</v>
      </c>
      <c r="Z79" s="89">
        <v>45254.285046296296</v>
      </c>
      <c r="AA79" s="89">
        <v>45254.285046296296</v>
      </c>
      <c r="AB79" s="82"/>
      <c r="AC79" s="82"/>
      <c r="AD79" s="85" t="s">
        <v>2423</v>
      </c>
      <c r="AE79" s="84" t="str">
        <f>REPLACE(INDEX(GroupVertices[Group],MATCH("~"&amp;Edges[[#This Row],[Vertex 1]],GroupVertices[Vertex],0)),1,1,"")</f>
        <v>6</v>
      </c>
      <c r="AF79" s="84" t="str">
        <f>REPLACE(INDEX(GroupVertices[Group],MATCH("~"&amp;Edges[[#This Row],[Vertex 2]],GroupVertices[Vertex],0)),1,1,"")</f>
        <v>6</v>
      </c>
    </row>
    <row r="80" spans="1:32" ht="15">
      <c r="A80" s="66" t="s">
        <v>278</v>
      </c>
      <c r="B80" s="66" t="s">
        <v>901</v>
      </c>
      <c r="C80" s="67"/>
      <c r="D80" s="68"/>
      <c r="E80" s="69"/>
      <c r="F80" s="70"/>
      <c r="G80" s="67"/>
      <c r="H80" s="71"/>
      <c r="I80" s="72"/>
      <c r="J80" s="72"/>
      <c r="K80" s="35"/>
      <c r="L80" s="80">
        <v>80</v>
      </c>
      <c r="M80" s="80"/>
      <c r="N80" s="74"/>
      <c r="O80" s="82" t="s">
        <v>909</v>
      </c>
      <c r="P80" s="82" t="s">
        <v>197</v>
      </c>
      <c r="Q80" s="85" t="s">
        <v>987</v>
      </c>
      <c r="R80" s="82" t="s">
        <v>278</v>
      </c>
      <c r="S80" s="82" t="s">
        <v>1744</v>
      </c>
      <c r="T80" s="87" t="str">
        <f>HYPERLINK("http://www.youtube.com/channel/UCoVp0s1bMO55r1aWuPYes4A")</f>
        <v>http://www.youtube.com/channel/UCoVp0s1bMO55r1aWuPYes4A</v>
      </c>
      <c r="U80" s="82"/>
      <c r="V80" s="82" t="s">
        <v>2368</v>
      </c>
      <c r="W80" s="87" t="str">
        <f t="shared" si="2"/>
        <v>https://www.youtube.com/watch?v=gLvkWpnzba8</v>
      </c>
      <c r="X80" s="82" t="s">
        <v>2384</v>
      </c>
      <c r="Y80" s="82">
        <v>0</v>
      </c>
      <c r="Z80" s="89">
        <v>45254.379641203705</v>
      </c>
      <c r="AA80" s="89">
        <v>45254.379641203705</v>
      </c>
      <c r="AB80" s="82"/>
      <c r="AC80" s="82"/>
      <c r="AD80" s="85" t="s">
        <v>2423</v>
      </c>
      <c r="AE80" s="84" t="str">
        <f>REPLACE(INDEX(GroupVertices[Group],MATCH("~"&amp;Edges[[#This Row],[Vertex 1]],GroupVertices[Vertex],0)),1,1,"")</f>
        <v>6</v>
      </c>
      <c r="AF80" s="84" t="str">
        <f>REPLACE(INDEX(GroupVertices[Group],MATCH("~"&amp;Edges[[#This Row],[Vertex 2]],GroupVertices[Vertex],0)),1,1,"")</f>
        <v>6</v>
      </c>
    </row>
    <row r="81" spans="1:32" ht="15">
      <c r="A81" s="66" t="s">
        <v>279</v>
      </c>
      <c r="B81" s="66" t="s">
        <v>901</v>
      </c>
      <c r="C81" s="67"/>
      <c r="D81" s="68"/>
      <c r="E81" s="69"/>
      <c r="F81" s="70"/>
      <c r="G81" s="67"/>
      <c r="H81" s="71"/>
      <c r="I81" s="72"/>
      <c r="J81" s="72"/>
      <c r="K81" s="35"/>
      <c r="L81" s="80">
        <v>81</v>
      </c>
      <c r="M81" s="80"/>
      <c r="N81" s="74"/>
      <c r="O81" s="82" t="s">
        <v>909</v>
      </c>
      <c r="P81" s="82" t="s">
        <v>197</v>
      </c>
      <c r="Q81" s="85" t="s">
        <v>988</v>
      </c>
      <c r="R81" s="82" t="s">
        <v>279</v>
      </c>
      <c r="S81" s="82" t="s">
        <v>1745</v>
      </c>
      <c r="T81" s="87" t="str">
        <f>HYPERLINK("http://www.youtube.com/channel/UC1KLrjn_ZKgSYLLe7WDdSqA")</f>
        <v>http://www.youtube.com/channel/UC1KLrjn_ZKgSYLLe7WDdSqA</v>
      </c>
      <c r="U81" s="82"/>
      <c r="V81" s="82" t="s">
        <v>2368</v>
      </c>
      <c r="W81" s="87" t="str">
        <f t="shared" si="2"/>
        <v>https://www.youtube.com/watch?v=gLvkWpnzba8</v>
      </c>
      <c r="X81" s="82" t="s">
        <v>2384</v>
      </c>
      <c r="Y81" s="82">
        <v>0</v>
      </c>
      <c r="Z81" s="89">
        <v>45254.72351851852</v>
      </c>
      <c r="AA81" s="89">
        <v>45254.72351851852</v>
      </c>
      <c r="AB81" s="82"/>
      <c r="AC81" s="82"/>
      <c r="AD81" s="85" t="s">
        <v>2423</v>
      </c>
      <c r="AE81" s="84" t="str">
        <f>REPLACE(INDEX(GroupVertices[Group],MATCH("~"&amp;Edges[[#This Row],[Vertex 1]],GroupVertices[Vertex],0)),1,1,"")</f>
        <v>6</v>
      </c>
      <c r="AF81" s="84" t="str">
        <f>REPLACE(INDEX(GroupVertices[Group],MATCH("~"&amp;Edges[[#This Row],[Vertex 2]],GroupVertices[Vertex],0)),1,1,"")</f>
        <v>6</v>
      </c>
    </row>
    <row r="82" spans="1:32" ht="15">
      <c r="A82" s="66" t="s">
        <v>280</v>
      </c>
      <c r="B82" s="66" t="s">
        <v>901</v>
      </c>
      <c r="C82" s="67"/>
      <c r="D82" s="68"/>
      <c r="E82" s="69"/>
      <c r="F82" s="70"/>
      <c r="G82" s="67"/>
      <c r="H82" s="71"/>
      <c r="I82" s="72"/>
      <c r="J82" s="72"/>
      <c r="K82" s="35"/>
      <c r="L82" s="80">
        <v>82</v>
      </c>
      <c r="M82" s="80"/>
      <c r="N82" s="74"/>
      <c r="O82" s="82" t="s">
        <v>909</v>
      </c>
      <c r="P82" s="82" t="s">
        <v>197</v>
      </c>
      <c r="Q82" s="85" t="s">
        <v>989</v>
      </c>
      <c r="R82" s="82" t="s">
        <v>280</v>
      </c>
      <c r="S82" s="82" t="s">
        <v>1746</v>
      </c>
      <c r="T82" s="87" t="str">
        <f>HYPERLINK("http://www.youtube.com/channel/UCb3bemk_IVeEOhOSrPrUolQ")</f>
        <v>http://www.youtube.com/channel/UCb3bemk_IVeEOhOSrPrUolQ</v>
      </c>
      <c r="U82" s="82"/>
      <c r="V82" s="82" t="s">
        <v>2368</v>
      </c>
      <c r="W82" s="87" t="str">
        <f t="shared" si="2"/>
        <v>https://www.youtube.com/watch?v=gLvkWpnzba8</v>
      </c>
      <c r="X82" s="82" t="s">
        <v>2384</v>
      </c>
      <c r="Y82" s="82">
        <v>1</v>
      </c>
      <c r="Z82" s="89">
        <v>45254.94541666667</v>
      </c>
      <c r="AA82" s="89">
        <v>45254.94541666667</v>
      </c>
      <c r="AB82" s="82"/>
      <c r="AC82" s="82"/>
      <c r="AD82" s="85" t="s">
        <v>2423</v>
      </c>
      <c r="AE82" s="84" t="str">
        <f>REPLACE(INDEX(GroupVertices[Group],MATCH("~"&amp;Edges[[#This Row],[Vertex 1]],GroupVertices[Vertex],0)),1,1,"")</f>
        <v>6</v>
      </c>
      <c r="AF82" s="84" t="str">
        <f>REPLACE(INDEX(GroupVertices[Group],MATCH("~"&amp;Edges[[#This Row],[Vertex 2]],GroupVertices[Vertex],0)),1,1,"")</f>
        <v>6</v>
      </c>
    </row>
    <row r="83" spans="1:32" ht="15">
      <c r="A83" s="66" t="s">
        <v>281</v>
      </c>
      <c r="B83" s="66" t="s">
        <v>901</v>
      </c>
      <c r="C83" s="67"/>
      <c r="D83" s="68"/>
      <c r="E83" s="69"/>
      <c r="F83" s="70"/>
      <c r="G83" s="67"/>
      <c r="H83" s="71"/>
      <c r="I83" s="72"/>
      <c r="J83" s="72"/>
      <c r="K83" s="35"/>
      <c r="L83" s="80">
        <v>83</v>
      </c>
      <c r="M83" s="80"/>
      <c r="N83" s="74"/>
      <c r="O83" s="82" t="s">
        <v>909</v>
      </c>
      <c r="P83" s="82" t="s">
        <v>197</v>
      </c>
      <c r="Q83" s="85" t="s">
        <v>990</v>
      </c>
      <c r="R83" s="82" t="s">
        <v>281</v>
      </c>
      <c r="S83" s="82" t="s">
        <v>1747</v>
      </c>
      <c r="T83" s="87" t="str">
        <f>HYPERLINK("http://www.youtube.com/channel/UCzpyn_JCCYCjsdWC8E0UDag")</f>
        <v>http://www.youtube.com/channel/UCzpyn_JCCYCjsdWC8E0UDag</v>
      </c>
      <c r="U83" s="82"/>
      <c r="V83" s="82" t="s">
        <v>2368</v>
      </c>
      <c r="W83" s="87" t="str">
        <f t="shared" si="2"/>
        <v>https://www.youtube.com/watch?v=gLvkWpnzba8</v>
      </c>
      <c r="X83" s="82" t="s">
        <v>2384</v>
      </c>
      <c r="Y83" s="82">
        <v>8</v>
      </c>
      <c r="Z83" s="89">
        <v>45255.000763888886</v>
      </c>
      <c r="AA83" s="89">
        <v>45255.000763888886</v>
      </c>
      <c r="AB83" s="82"/>
      <c r="AC83" s="82"/>
      <c r="AD83" s="85" t="s">
        <v>2423</v>
      </c>
      <c r="AE83" s="84" t="str">
        <f>REPLACE(INDEX(GroupVertices[Group],MATCH("~"&amp;Edges[[#This Row],[Vertex 1]],GroupVertices[Vertex],0)),1,1,"")</f>
        <v>6</v>
      </c>
      <c r="AF83" s="84" t="str">
        <f>REPLACE(INDEX(GroupVertices[Group],MATCH("~"&amp;Edges[[#This Row],[Vertex 2]],GroupVertices[Vertex],0)),1,1,"")</f>
        <v>6</v>
      </c>
    </row>
    <row r="84" spans="1:32" ht="15">
      <c r="A84" s="66" t="s">
        <v>282</v>
      </c>
      <c r="B84" s="66" t="s">
        <v>901</v>
      </c>
      <c r="C84" s="67"/>
      <c r="D84" s="68"/>
      <c r="E84" s="69"/>
      <c r="F84" s="70"/>
      <c r="G84" s="67"/>
      <c r="H84" s="71"/>
      <c r="I84" s="72"/>
      <c r="J84" s="72"/>
      <c r="K84" s="35"/>
      <c r="L84" s="80">
        <v>84</v>
      </c>
      <c r="M84" s="80"/>
      <c r="N84" s="74"/>
      <c r="O84" s="82" t="s">
        <v>909</v>
      </c>
      <c r="P84" s="82" t="s">
        <v>197</v>
      </c>
      <c r="Q84" s="85" t="s">
        <v>991</v>
      </c>
      <c r="R84" s="82" t="s">
        <v>282</v>
      </c>
      <c r="S84" s="82" t="s">
        <v>1748</v>
      </c>
      <c r="T84" s="87" t="str">
        <f>HYPERLINK("http://www.youtube.com/channel/UC0twXK1mKrWYkCv9B0_dnKg")</f>
        <v>http://www.youtube.com/channel/UC0twXK1mKrWYkCv9B0_dnKg</v>
      </c>
      <c r="U84" s="82"/>
      <c r="V84" s="82" t="s">
        <v>2368</v>
      </c>
      <c r="W84" s="87" t="str">
        <f t="shared" si="2"/>
        <v>https://www.youtube.com/watch?v=gLvkWpnzba8</v>
      </c>
      <c r="X84" s="82" t="s">
        <v>2384</v>
      </c>
      <c r="Y84" s="82">
        <v>0</v>
      </c>
      <c r="Z84" s="89">
        <v>45255.12368055555</v>
      </c>
      <c r="AA84" s="89">
        <v>45255.12368055555</v>
      </c>
      <c r="AB84" s="82"/>
      <c r="AC84" s="82"/>
      <c r="AD84" s="85" t="s">
        <v>2423</v>
      </c>
      <c r="AE84" s="84" t="str">
        <f>REPLACE(INDEX(GroupVertices[Group],MATCH("~"&amp;Edges[[#This Row],[Vertex 1]],GroupVertices[Vertex],0)),1,1,"")</f>
        <v>6</v>
      </c>
      <c r="AF84" s="84" t="str">
        <f>REPLACE(INDEX(GroupVertices[Group],MATCH("~"&amp;Edges[[#This Row],[Vertex 2]],GroupVertices[Vertex],0)),1,1,"")</f>
        <v>6</v>
      </c>
    </row>
    <row r="85" spans="1:32" ht="15">
      <c r="A85" s="66" t="s">
        <v>283</v>
      </c>
      <c r="B85" s="66" t="s">
        <v>901</v>
      </c>
      <c r="C85" s="67"/>
      <c r="D85" s="68"/>
      <c r="E85" s="69"/>
      <c r="F85" s="70"/>
      <c r="G85" s="67"/>
      <c r="H85" s="71"/>
      <c r="I85" s="72"/>
      <c r="J85" s="72"/>
      <c r="K85" s="35"/>
      <c r="L85" s="80">
        <v>85</v>
      </c>
      <c r="M85" s="80"/>
      <c r="N85" s="74"/>
      <c r="O85" s="82" t="s">
        <v>909</v>
      </c>
      <c r="P85" s="82" t="s">
        <v>197</v>
      </c>
      <c r="Q85" s="85" t="s">
        <v>992</v>
      </c>
      <c r="R85" s="82" t="s">
        <v>283</v>
      </c>
      <c r="S85" s="82" t="s">
        <v>1749</v>
      </c>
      <c r="T85" s="87" t="str">
        <f>HYPERLINK("http://www.youtube.com/channel/UCMWGGmBVTeoQWR7Z5FdA6jg")</f>
        <v>http://www.youtube.com/channel/UCMWGGmBVTeoQWR7Z5FdA6jg</v>
      </c>
      <c r="U85" s="82"/>
      <c r="V85" s="82" t="s">
        <v>2368</v>
      </c>
      <c r="W85" s="87" t="str">
        <f t="shared" si="2"/>
        <v>https://www.youtube.com/watch?v=gLvkWpnzba8</v>
      </c>
      <c r="X85" s="82" t="s">
        <v>2384</v>
      </c>
      <c r="Y85" s="82">
        <v>0</v>
      </c>
      <c r="Z85" s="89">
        <v>45255.4840625</v>
      </c>
      <c r="AA85" s="89">
        <v>45255.4840625</v>
      </c>
      <c r="AB85" s="82"/>
      <c r="AC85" s="82"/>
      <c r="AD85" s="85" t="s">
        <v>2423</v>
      </c>
      <c r="AE85" s="84" t="str">
        <f>REPLACE(INDEX(GroupVertices[Group],MATCH("~"&amp;Edges[[#This Row],[Vertex 1]],GroupVertices[Vertex],0)),1,1,"")</f>
        <v>6</v>
      </c>
      <c r="AF85" s="84" t="str">
        <f>REPLACE(INDEX(GroupVertices[Group],MATCH("~"&amp;Edges[[#This Row],[Vertex 2]],GroupVertices[Vertex],0)),1,1,"")</f>
        <v>6</v>
      </c>
    </row>
    <row r="86" spans="1:32" ht="15">
      <c r="A86" s="66" t="s">
        <v>284</v>
      </c>
      <c r="B86" s="66" t="s">
        <v>901</v>
      </c>
      <c r="C86" s="67"/>
      <c r="D86" s="68"/>
      <c r="E86" s="69"/>
      <c r="F86" s="70"/>
      <c r="G86" s="67"/>
      <c r="H86" s="71"/>
      <c r="I86" s="72"/>
      <c r="J86" s="72"/>
      <c r="K86" s="35"/>
      <c r="L86" s="80">
        <v>86</v>
      </c>
      <c r="M86" s="80"/>
      <c r="N86" s="74"/>
      <c r="O86" s="82" t="s">
        <v>909</v>
      </c>
      <c r="P86" s="82" t="s">
        <v>197</v>
      </c>
      <c r="Q86" s="85" t="s">
        <v>993</v>
      </c>
      <c r="R86" s="82" t="s">
        <v>284</v>
      </c>
      <c r="S86" s="82" t="s">
        <v>1750</v>
      </c>
      <c r="T86" s="87" t="str">
        <f>HYPERLINK("http://www.youtube.com/channel/UCQxhDTqT51NGwDSzkme6XPw")</f>
        <v>http://www.youtube.com/channel/UCQxhDTqT51NGwDSzkme6XPw</v>
      </c>
      <c r="U86" s="82"/>
      <c r="V86" s="82" t="s">
        <v>2368</v>
      </c>
      <c r="W86" s="87" t="str">
        <f t="shared" si="2"/>
        <v>https://www.youtube.com/watch?v=gLvkWpnzba8</v>
      </c>
      <c r="X86" s="82" t="s">
        <v>2384</v>
      </c>
      <c r="Y86" s="82">
        <v>1</v>
      </c>
      <c r="Z86" s="89">
        <v>45255.82952546296</v>
      </c>
      <c r="AA86" s="89">
        <v>45255.82952546296</v>
      </c>
      <c r="AB86" s="82"/>
      <c r="AC86" s="82"/>
      <c r="AD86" s="85" t="s">
        <v>2423</v>
      </c>
      <c r="AE86" s="84" t="str">
        <f>REPLACE(INDEX(GroupVertices[Group],MATCH("~"&amp;Edges[[#This Row],[Vertex 1]],GroupVertices[Vertex],0)),1,1,"")</f>
        <v>6</v>
      </c>
      <c r="AF86" s="84" t="str">
        <f>REPLACE(INDEX(GroupVertices[Group],MATCH("~"&amp;Edges[[#This Row],[Vertex 2]],GroupVertices[Vertex],0)),1,1,"")</f>
        <v>6</v>
      </c>
    </row>
    <row r="87" spans="1:32" ht="15">
      <c r="A87" s="66" t="s">
        <v>285</v>
      </c>
      <c r="B87" s="66" t="s">
        <v>901</v>
      </c>
      <c r="C87" s="67"/>
      <c r="D87" s="68"/>
      <c r="E87" s="69"/>
      <c r="F87" s="70"/>
      <c r="G87" s="67"/>
      <c r="H87" s="71"/>
      <c r="I87" s="72"/>
      <c r="J87" s="72"/>
      <c r="K87" s="35"/>
      <c r="L87" s="80">
        <v>87</v>
      </c>
      <c r="M87" s="80"/>
      <c r="N87" s="74"/>
      <c r="O87" s="82" t="s">
        <v>909</v>
      </c>
      <c r="P87" s="82" t="s">
        <v>197</v>
      </c>
      <c r="Q87" s="85" t="s">
        <v>994</v>
      </c>
      <c r="R87" s="82" t="s">
        <v>285</v>
      </c>
      <c r="S87" s="82" t="s">
        <v>1751</v>
      </c>
      <c r="T87" s="87" t="str">
        <f>HYPERLINK("http://www.youtube.com/channel/UCm0hEJxQo_2Nk9tIWmAbLWA")</f>
        <v>http://www.youtube.com/channel/UCm0hEJxQo_2Nk9tIWmAbLWA</v>
      </c>
      <c r="U87" s="82"/>
      <c r="V87" s="82" t="s">
        <v>2368</v>
      </c>
      <c r="W87" s="87" t="str">
        <f t="shared" si="2"/>
        <v>https://www.youtube.com/watch?v=gLvkWpnzba8</v>
      </c>
      <c r="X87" s="82" t="s">
        <v>2384</v>
      </c>
      <c r="Y87" s="82">
        <v>0</v>
      </c>
      <c r="Z87" s="89">
        <v>45256.096666666665</v>
      </c>
      <c r="AA87" s="89">
        <v>45256.096666666665</v>
      </c>
      <c r="AB87" s="82"/>
      <c r="AC87" s="82"/>
      <c r="AD87" s="85" t="s">
        <v>2423</v>
      </c>
      <c r="AE87" s="84" t="str">
        <f>REPLACE(INDEX(GroupVertices[Group],MATCH("~"&amp;Edges[[#This Row],[Vertex 1]],GroupVertices[Vertex],0)),1,1,"")</f>
        <v>6</v>
      </c>
      <c r="AF87" s="84" t="str">
        <f>REPLACE(INDEX(GroupVertices[Group],MATCH("~"&amp;Edges[[#This Row],[Vertex 2]],GroupVertices[Vertex],0)),1,1,"")</f>
        <v>6</v>
      </c>
    </row>
    <row r="88" spans="1:32" ht="15">
      <c r="A88" s="66" t="s">
        <v>286</v>
      </c>
      <c r="B88" s="66" t="s">
        <v>901</v>
      </c>
      <c r="C88" s="67"/>
      <c r="D88" s="68"/>
      <c r="E88" s="69"/>
      <c r="F88" s="70"/>
      <c r="G88" s="67"/>
      <c r="H88" s="71"/>
      <c r="I88" s="72"/>
      <c r="J88" s="72"/>
      <c r="K88" s="35"/>
      <c r="L88" s="80">
        <v>88</v>
      </c>
      <c r="M88" s="80"/>
      <c r="N88" s="74"/>
      <c r="O88" s="82" t="s">
        <v>909</v>
      </c>
      <c r="P88" s="82" t="s">
        <v>197</v>
      </c>
      <c r="Q88" s="85" t="s">
        <v>995</v>
      </c>
      <c r="R88" s="82" t="s">
        <v>286</v>
      </c>
      <c r="S88" s="82" t="s">
        <v>1752</v>
      </c>
      <c r="T88" s="87" t="str">
        <f>HYPERLINK("http://www.youtube.com/channel/UCvwt05p4825oOEKPJdpZ_Dg")</f>
        <v>http://www.youtube.com/channel/UCvwt05p4825oOEKPJdpZ_Dg</v>
      </c>
      <c r="U88" s="82"/>
      <c r="V88" s="82" t="s">
        <v>2368</v>
      </c>
      <c r="W88" s="87" t="str">
        <f t="shared" si="2"/>
        <v>https://www.youtube.com/watch?v=gLvkWpnzba8</v>
      </c>
      <c r="X88" s="82" t="s">
        <v>2384</v>
      </c>
      <c r="Y88" s="82">
        <v>0</v>
      </c>
      <c r="Z88" s="89">
        <v>45256.10695601852</v>
      </c>
      <c r="AA88" s="89">
        <v>45256.10695601852</v>
      </c>
      <c r="AB88" s="82"/>
      <c r="AC88" s="82"/>
      <c r="AD88" s="85" t="s">
        <v>2423</v>
      </c>
      <c r="AE88" s="84" t="str">
        <f>REPLACE(INDEX(GroupVertices[Group],MATCH("~"&amp;Edges[[#This Row],[Vertex 1]],GroupVertices[Vertex],0)),1,1,"")</f>
        <v>6</v>
      </c>
      <c r="AF88" s="84" t="str">
        <f>REPLACE(INDEX(GroupVertices[Group],MATCH("~"&amp;Edges[[#This Row],[Vertex 2]],GroupVertices[Vertex],0)),1,1,"")</f>
        <v>6</v>
      </c>
    </row>
    <row r="89" spans="1:32" ht="15">
      <c r="A89" s="66" t="s">
        <v>287</v>
      </c>
      <c r="B89" s="66" t="s">
        <v>901</v>
      </c>
      <c r="C89" s="67"/>
      <c r="D89" s="68"/>
      <c r="E89" s="69"/>
      <c r="F89" s="70"/>
      <c r="G89" s="67"/>
      <c r="H89" s="71"/>
      <c r="I89" s="72"/>
      <c r="J89" s="72"/>
      <c r="K89" s="35"/>
      <c r="L89" s="80">
        <v>89</v>
      </c>
      <c r="M89" s="80"/>
      <c r="N89" s="74"/>
      <c r="O89" s="82" t="s">
        <v>909</v>
      </c>
      <c r="P89" s="82" t="s">
        <v>197</v>
      </c>
      <c r="Q89" s="85" t="s">
        <v>996</v>
      </c>
      <c r="R89" s="82" t="s">
        <v>287</v>
      </c>
      <c r="S89" s="82" t="s">
        <v>1753</v>
      </c>
      <c r="T89" s="87" t="str">
        <f>HYPERLINK("http://www.youtube.com/channel/UCijSB9YT9E3EvVJzTcSU9TQ")</f>
        <v>http://www.youtube.com/channel/UCijSB9YT9E3EvVJzTcSU9TQ</v>
      </c>
      <c r="U89" s="82"/>
      <c r="V89" s="82" t="s">
        <v>2368</v>
      </c>
      <c r="W89" s="87" t="str">
        <f t="shared" si="2"/>
        <v>https://www.youtube.com/watch?v=gLvkWpnzba8</v>
      </c>
      <c r="X89" s="82" t="s">
        <v>2384</v>
      </c>
      <c r="Y89" s="82">
        <v>1</v>
      </c>
      <c r="Z89" s="89">
        <v>45256.301145833335</v>
      </c>
      <c r="AA89" s="89">
        <v>45256.301145833335</v>
      </c>
      <c r="AB89" s="82"/>
      <c r="AC89" s="82"/>
      <c r="AD89" s="85" t="s">
        <v>2423</v>
      </c>
      <c r="AE89" s="84" t="str">
        <f>REPLACE(INDEX(GroupVertices[Group],MATCH("~"&amp;Edges[[#This Row],[Vertex 1]],GroupVertices[Vertex],0)),1,1,"")</f>
        <v>6</v>
      </c>
      <c r="AF89" s="84" t="str">
        <f>REPLACE(INDEX(GroupVertices[Group],MATCH("~"&amp;Edges[[#This Row],[Vertex 2]],GroupVertices[Vertex],0)),1,1,"")</f>
        <v>6</v>
      </c>
    </row>
    <row r="90" spans="1:32" ht="15">
      <c r="A90" s="66" t="s">
        <v>288</v>
      </c>
      <c r="B90" s="66" t="s">
        <v>901</v>
      </c>
      <c r="C90" s="67"/>
      <c r="D90" s="68"/>
      <c r="E90" s="69"/>
      <c r="F90" s="70"/>
      <c r="G90" s="67"/>
      <c r="H90" s="71"/>
      <c r="I90" s="72"/>
      <c r="J90" s="72"/>
      <c r="K90" s="35"/>
      <c r="L90" s="80">
        <v>90</v>
      </c>
      <c r="M90" s="80"/>
      <c r="N90" s="74"/>
      <c r="O90" s="82" t="s">
        <v>909</v>
      </c>
      <c r="P90" s="82" t="s">
        <v>197</v>
      </c>
      <c r="Q90" s="85" t="s">
        <v>997</v>
      </c>
      <c r="R90" s="82" t="s">
        <v>288</v>
      </c>
      <c r="S90" s="82" t="s">
        <v>1754</v>
      </c>
      <c r="T90" s="87" t="str">
        <f>HYPERLINK("http://www.youtube.com/channel/UCvzWdfNMZjMrxp1j4W3v3yg")</f>
        <v>http://www.youtube.com/channel/UCvzWdfNMZjMrxp1j4W3v3yg</v>
      </c>
      <c r="U90" s="82"/>
      <c r="V90" s="82" t="s">
        <v>2368</v>
      </c>
      <c r="W90" s="87" t="str">
        <f t="shared" si="2"/>
        <v>https://www.youtube.com/watch?v=gLvkWpnzba8</v>
      </c>
      <c r="X90" s="82" t="s">
        <v>2384</v>
      </c>
      <c r="Y90" s="82">
        <v>2</v>
      </c>
      <c r="Z90" s="89">
        <v>45256.69789351852</v>
      </c>
      <c r="AA90" s="89">
        <v>45256.703414351854</v>
      </c>
      <c r="AB90" s="82"/>
      <c r="AC90" s="82"/>
      <c r="AD90" s="85" t="s">
        <v>2423</v>
      </c>
      <c r="AE90" s="84" t="str">
        <f>REPLACE(INDEX(GroupVertices[Group],MATCH("~"&amp;Edges[[#This Row],[Vertex 1]],GroupVertices[Vertex],0)),1,1,"")</f>
        <v>6</v>
      </c>
      <c r="AF90" s="84" t="str">
        <f>REPLACE(INDEX(GroupVertices[Group],MATCH("~"&amp;Edges[[#This Row],[Vertex 2]],GroupVertices[Vertex],0)),1,1,"")</f>
        <v>6</v>
      </c>
    </row>
    <row r="91" spans="1:32" ht="15">
      <c r="A91" s="66" t="s">
        <v>289</v>
      </c>
      <c r="B91" s="66" t="s">
        <v>901</v>
      </c>
      <c r="C91" s="67"/>
      <c r="D91" s="68"/>
      <c r="E91" s="69"/>
      <c r="F91" s="70"/>
      <c r="G91" s="67"/>
      <c r="H91" s="71"/>
      <c r="I91" s="72"/>
      <c r="J91" s="72"/>
      <c r="K91" s="35"/>
      <c r="L91" s="80">
        <v>91</v>
      </c>
      <c r="M91" s="80"/>
      <c r="N91" s="74"/>
      <c r="O91" s="82" t="s">
        <v>909</v>
      </c>
      <c r="P91" s="82" t="s">
        <v>197</v>
      </c>
      <c r="Q91" s="85" t="s">
        <v>998</v>
      </c>
      <c r="R91" s="82" t="s">
        <v>289</v>
      </c>
      <c r="S91" s="82" t="s">
        <v>1755</v>
      </c>
      <c r="T91" s="87" t="str">
        <f>HYPERLINK("http://www.youtube.com/channel/UCLUy8FkvhOY7aKhXpWlbnUg")</f>
        <v>http://www.youtube.com/channel/UCLUy8FkvhOY7aKhXpWlbnUg</v>
      </c>
      <c r="U91" s="82"/>
      <c r="V91" s="82" t="s">
        <v>2368</v>
      </c>
      <c r="W91" s="87" t="str">
        <f t="shared" si="2"/>
        <v>https://www.youtube.com/watch?v=gLvkWpnzba8</v>
      </c>
      <c r="X91" s="82" t="s">
        <v>2384</v>
      </c>
      <c r="Y91" s="82">
        <v>1</v>
      </c>
      <c r="Z91" s="89">
        <v>45256.70657407407</v>
      </c>
      <c r="AA91" s="89">
        <v>45256.70657407407</v>
      </c>
      <c r="AB91" s="82"/>
      <c r="AC91" s="82"/>
      <c r="AD91" s="85" t="s">
        <v>2423</v>
      </c>
      <c r="AE91" s="84" t="str">
        <f>REPLACE(INDEX(GroupVertices[Group],MATCH("~"&amp;Edges[[#This Row],[Vertex 1]],GroupVertices[Vertex],0)),1,1,"")</f>
        <v>6</v>
      </c>
      <c r="AF91" s="84" t="str">
        <f>REPLACE(INDEX(GroupVertices[Group],MATCH("~"&amp;Edges[[#This Row],[Vertex 2]],GroupVertices[Vertex],0)),1,1,"")</f>
        <v>6</v>
      </c>
    </row>
    <row r="92" spans="1:32" ht="15">
      <c r="A92" s="66" t="s">
        <v>290</v>
      </c>
      <c r="B92" s="66" t="s">
        <v>901</v>
      </c>
      <c r="C92" s="67"/>
      <c r="D92" s="68"/>
      <c r="E92" s="69"/>
      <c r="F92" s="70"/>
      <c r="G92" s="67"/>
      <c r="H92" s="71"/>
      <c r="I92" s="72"/>
      <c r="J92" s="72"/>
      <c r="K92" s="35"/>
      <c r="L92" s="80">
        <v>92</v>
      </c>
      <c r="M92" s="80"/>
      <c r="N92" s="74"/>
      <c r="O92" s="82" t="s">
        <v>909</v>
      </c>
      <c r="P92" s="82" t="s">
        <v>197</v>
      </c>
      <c r="Q92" s="85" t="s">
        <v>999</v>
      </c>
      <c r="R92" s="82" t="s">
        <v>290</v>
      </c>
      <c r="S92" s="82" t="s">
        <v>1756</v>
      </c>
      <c r="T92" s="87" t="str">
        <f>HYPERLINK("http://www.youtube.com/channel/UCsCGZxNee3KgHEQRsC6zhqA")</f>
        <v>http://www.youtube.com/channel/UCsCGZxNee3KgHEQRsC6zhqA</v>
      </c>
      <c r="U92" s="82"/>
      <c r="V92" s="82" t="s">
        <v>2368</v>
      </c>
      <c r="W92" s="87" t="str">
        <f t="shared" si="2"/>
        <v>https://www.youtube.com/watch?v=gLvkWpnzba8</v>
      </c>
      <c r="X92" s="82" t="s">
        <v>2384</v>
      </c>
      <c r="Y92" s="82">
        <v>2</v>
      </c>
      <c r="Z92" s="89">
        <v>45256.74422453704</v>
      </c>
      <c r="AA92" s="89">
        <v>45256.74422453704</v>
      </c>
      <c r="AB92" s="82"/>
      <c r="AC92" s="82"/>
      <c r="AD92" s="85" t="s">
        <v>2423</v>
      </c>
      <c r="AE92" s="84" t="str">
        <f>REPLACE(INDEX(GroupVertices[Group],MATCH("~"&amp;Edges[[#This Row],[Vertex 1]],GroupVertices[Vertex],0)),1,1,"")</f>
        <v>6</v>
      </c>
      <c r="AF92" s="84" t="str">
        <f>REPLACE(INDEX(GroupVertices[Group],MATCH("~"&amp;Edges[[#This Row],[Vertex 2]],GroupVertices[Vertex],0)),1,1,"")</f>
        <v>6</v>
      </c>
    </row>
    <row r="93" spans="1:32" ht="15">
      <c r="A93" s="66" t="s">
        <v>291</v>
      </c>
      <c r="B93" s="66" t="s">
        <v>901</v>
      </c>
      <c r="C93" s="67"/>
      <c r="D93" s="68"/>
      <c r="E93" s="69"/>
      <c r="F93" s="70"/>
      <c r="G93" s="67"/>
      <c r="H93" s="71"/>
      <c r="I93" s="72"/>
      <c r="J93" s="72"/>
      <c r="K93" s="35"/>
      <c r="L93" s="80">
        <v>93</v>
      </c>
      <c r="M93" s="80"/>
      <c r="N93" s="74"/>
      <c r="O93" s="82" t="s">
        <v>909</v>
      </c>
      <c r="P93" s="82" t="s">
        <v>197</v>
      </c>
      <c r="Q93" s="85" t="s">
        <v>1000</v>
      </c>
      <c r="R93" s="82" t="s">
        <v>291</v>
      </c>
      <c r="S93" s="82" t="s">
        <v>1757</v>
      </c>
      <c r="T93" s="87" t="str">
        <f>HYPERLINK("http://www.youtube.com/channel/UCSMj08PhzBpviwzNtmjS0wQ")</f>
        <v>http://www.youtube.com/channel/UCSMj08PhzBpviwzNtmjS0wQ</v>
      </c>
      <c r="U93" s="82"/>
      <c r="V93" s="82" t="s">
        <v>2368</v>
      </c>
      <c r="W93" s="87" t="str">
        <f t="shared" si="2"/>
        <v>https://www.youtube.com/watch?v=gLvkWpnzba8</v>
      </c>
      <c r="X93" s="82" t="s">
        <v>2384</v>
      </c>
      <c r="Y93" s="82">
        <v>0</v>
      </c>
      <c r="Z93" s="89">
        <v>45256.832604166666</v>
      </c>
      <c r="AA93" s="89">
        <v>45256.832604166666</v>
      </c>
      <c r="AB93" s="82"/>
      <c r="AC93" s="82"/>
      <c r="AD93" s="85" t="s">
        <v>2423</v>
      </c>
      <c r="AE93" s="84" t="str">
        <f>REPLACE(INDEX(GroupVertices[Group],MATCH("~"&amp;Edges[[#This Row],[Vertex 1]],GroupVertices[Vertex],0)),1,1,"")</f>
        <v>6</v>
      </c>
      <c r="AF93" s="84" t="str">
        <f>REPLACE(INDEX(GroupVertices[Group],MATCH("~"&amp;Edges[[#This Row],[Vertex 2]],GroupVertices[Vertex],0)),1,1,"")</f>
        <v>6</v>
      </c>
    </row>
    <row r="94" spans="1:32" ht="15">
      <c r="A94" s="66" t="s">
        <v>292</v>
      </c>
      <c r="B94" s="66" t="s">
        <v>901</v>
      </c>
      <c r="C94" s="67"/>
      <c r="D94" s="68"/>
      <c r="E94" s="69"/>
      <c r="F94" s="70"/>
      <c r="G94" s="67"/>
      <c r="H94" s="71"/>
      <c r="I94" s="72"/>
      <c r="J94" s="72"/>
      <c r="K94" s="35"/>
      <c r="L94" s="80">
        <v>94</v>
      </c>
      <c r="M94" s="80"/>
      <c r="N94" s="74"/>
      <c r="O94" s="82" t="s">
        <v>909</v>
      </c>
      <c r="P94" s="82" t="s">
        <v>197</v>
      </c>
      <c r="Q94" s="85" t="s">
        <v>1001</v>
      </c>
      <c r="R94" s="82" t="s">
        <v>292</v>
      </c>
      <c r="S94" s="82" t="s">
        <v>1758</v>
      </c>
      <c r="T94" s="87" t="str">
        <f>HYPERLINK("http://www.youtube.com/channel/UCNDc56OwFGEtaLrQKqoQakQ")</f>
        <v>http://www.youtube.com/channel/UCNDc56OwFGEtaLrQKqoQakQ</v>
      </c>
      <c r="U94" s="82"/>
      <c r="V94" s="82" t="s">
        <v>2368</v>
      </c>
      <c r="W94" s="87" t="str">
        <f t="shared" si="2"/>
        <v>https://www.youtube.com/watch?v=gLvkWpnzba8</v>
      </c>
      <c r="X94" s="82" t="s">
        <v>2384</v>
      </c>
      <c r="Y94" s="82">
        <v>0</v>
      </c>
      <c r="Z94" s="89">
        <v>45256.90755787037</v>
      </c>
      <c r="AA94" s="89">
        <v>45256.90755787037</v>
      </c>
      <c r="AB94" s="82"/>
      <c r="AC94" s="82"/>
      <c r="AD94" s="85" t="s">
        <v>2423</v>
      </c>
      <c r="AE94" s="84" t="str">
        <f>REPLACE(INDEX(GroupVertices[Group],MATCH("~"&amp;Edges[[#This Row],[Vertex 1]],GroupVertices[Vertex],0)),1,1,"")</f>
        <v>6</v>
      </c>
      <c r="AF94" s="84" t="str">
        <f>REPLACE(INDEX(GroupVertices[Group],MATCH("~"&amp;Edges[[#This Row],[Vertex 2]],GroupVertices[Vertex],0)),1,1,"")</f>
        <v>6</v>
      </c>
    </row>
    <row r="95" spans="1:32" ht="15">
      <c r="A95" s="66" t="s">
        <v>293</v>
      </c>
      <c r="B95" s="66" t="s">
        <v>901</v>
      </c>
      <c r="C95" s="67"/>
      <c r="D95" s="68"/>
      <c r="E95" s="69"/>
      <c r="F95" s="70"/>
      <c r="G95" s="67"/>
      <c r="H95" s="71"/>
      <c r="I95" s="72"/>
      <c r="J95" s="72"/>
      <c r="K95" s="35"/>
      <c r="L95" s="80">
        <v>95</v>
      </c>
      <c r="M95" s="80"/>
      <c r="N95" s="74"/>
      <c r="O95" s="82" t="s">
        <v>909</v>
      </c>
      <c r="P95" s="82" t="s">
        <v>197</v>
      </c>
      <c r="Q95" s="85" t="s">
        <v>1002</v>
      </c>
      <c r="R95" s="82" t="s">
        <v>293</v>
      </c>
      <c r="S95" s="82" t="s">
        <v>1759</v>
      </c>
      <c r="T95" s="87" t="str">
        <f>HYPERLINK("http://www.youtube.com/channel/UC5pYFvX9zfsdOFDSn6Hy14g")</f>
        <v>http://www.youtube.com/channel/UC5pYFvX9zfsdOFDSn6Hy14g</v>
      </c>
      <c r="U95" s="82"/>
      <c r="V95" s="82" t="s">
        <v>2368</v>
      </c>
      <c r="W95" s="87" t="str">
        <f t="shared" si="2"/>
        <v>https://www.youtube.com/watch?v=gLvkWpnzba8</v>
      </c>
      <c r="X95" s="82" t="s">
        <v>2384</v>
      </c>
      <c r="Y95" s="82">
        <v>0</v>
      </c>
      <c r="Z95" s="89">
        <v>45257.01526620371</v>
      </c>
      <c r="AA95" s="89">
        <v>45257.01526620371</v>
      </c>
      <c r="AB95" s="82"/>
      <c r="AC95" s="82"/>
      <c r="AD95" s="85" t="s">
        <v>2423</v>
      </c>
      <c r="AE95" s="84" t="str">
        <f>REPLACE(INDEX(GroupVertices[Group],MATCH("~"&amp;Edges[[#This Row],[Vertex 1]],GroupVertices[Vertex],0)),1,1,"")</f>
        <v>6</v>
      </c>
      <c r="AF95" s="84" t="str">
        <f>REPLACE(INDEX(GroupVertices[Group],MATCH("~"&amp;Edges[[#This Row],[Vertex 2]],GroupVertices[Vertex],0)),1,1,"")</f>
        <v>6</v>
      </c>
    </row>
    <row r="96" spans="1:32" ht="15">
      <c r="A96" s="66" t="s">
        <v>294</v>
      </c>
      <c r="B96" s="66" t="s">
        <v>901</v>
      </c>
      <c r="C96" s="67"/>
      <c r="D96" s="68"/>
      <c r="E96" s="69"/>
      <c r="F96" s="70"/>
      <c r="G96" s="67"/>
      <c r="H96" s="71"/>
      <c r="I96" s="72"/>
      <c r="J96" s="72"/>
      <c r="K96" s="35"/>
      <c r="L96" s="80">
        <v>96</v>
      </c>
      <c r="M96" s="80"/>
      <c r="N96" s="74"/>
      <c r="O96" s="82" t="s">
        <v>909</v>
      </c>
      <c r="P96" s="82" t="s">
        <v>197</v>
      </c>
      <c r="Q96" s="85" t="s">
        <v>1003</v>
      </c>
      <c r="R96" s="82" t="s">
        <v>294</v>
      </c>
      <c r="S96" s="82" t="s">
        <v>1760</v>
      </c>
      <c r="T96" s="87" t="str">
        <f>HYPERLINK("http://www.youtube.com/channel/UC1wKVHD-tyOyS3GRdQpecSg")</f>
        <v>http://www.youtube.com/channel/UC1wKVHD-tyOyS3GRdQpecSg</v>
      </c>
      <c r="U96" s="82"/>
      <c r="V96" s="82" t="s">
        <v>2368</v>
      </c>
      <c r="W96" s="87" t="str">
        <f t="shared" si="2"/>
        <v>https://www.youtube.com/watch?v=gLvkWpnzba8</v>
      </c>
      <c r="X96" s="82" t="s">
        <v>2384</v>
      </c>
      <c r="Y96" s="82">
        <v>2</v>
      </c>
      <c r="Z96" s="89">
        <v>45257.11241898148</v>
      </c>
      <c r="AA96" s="89">
        <v>45257.11241898148</v>
      </c>
      <c r="AB96" s="82"/>
      <c r="AC96" s="82"/>
      <c r="AD96" s="85" t="s">
        <v>2423</v>
      </c>
      <c r="AE96" s="84" t="str">
        <f>REPLACE(INDEX(GroupVertices[Group],MATCH("~"&amp;Edges[[#This Row],[Vertex 1]],GroupVertices[Vertex],0)),1,1,"")</f>
        <v>6</v>
      </c>
      <c r="AF96" s="84" t="str">
        <f>REPLACE(INDEX(GroupVertices[Group],MATCH("~"&amp;Edges[[#This Row],[Vertex 2]],GroupVertices[Vertex],0)),1,1,"")</f>
        <v>6</v>
      </c>
    </row>
    <row r="97" spans="1:32" ht="15">
      <c r="A97" s="66" t="s">
        <v>295</v>
      </c>
      <c r="B97" s="66" t="s">
        <v>901</v>
      </c>
      <c r="C97" s="67"/>
      <c r="D97" s="68"/>
      <c r="E97" s="69"/>
      <c r="F97" s="70"/>
      <c r="G97" s="67"/>
      <c r="H97" s="71"/>
      <c r="I97" s="72"/>
      <c r="J97" s="72"/>
      <c r="K97" s="35"/>
      <c r="L97" s="80">
        <v>97</v>
      </c>
      <c r="M97" s="80"/>
      <c r="N97" s="74"/>
      <c r="O97" s="82" t="s">
        <v>909</v>
      </c>
      <c r="P97" s="82" t="s">
        <v>197</v>
      </c>
      <c r="Q97" s="85" t="s">
        <v>1004</v>
      </c>
      <c r="R97" s="82" t="s">
        <v>295</v>
      </c>
      <c r="S97" s="82" t="s">
        <v>1761</v>
      </c>
      <c r="T97" s="87" t="str">
        <f>HYPERLINK("http://www.youtube.com/channel/UCPeYFNsWAt25nCX-o5oa4ug")</f>
        <v>http://www.youtube.com/channel/UCPeYFNsWAt25nCX-o5oa4ug</v>
      </c>
      <c r="U97" s="82"/>
      <c r="V97" s="82" t="s">
        <v>2368</v>
      </c>
      <c r="W97" s="87" t="str">
        <f aca="true" t="shared" si="3" ref="W97:W128">HYPERLINK("https://www.youtube.com/watch?v=gLvkWpnzba8")</f>
        <v>https://www.youtube.com/watch?v=gLvkWpnzba8</v>
      </c>
      <c r="X97" s="82" t="s">
        <v>2384</v>
      </c>
      <c r="Y97" s="82">
        <v>0</v>
      </c>
      <c r="Z97" s="89">
        <v>45257.219305555554</v>
      </c>
      <c r="AA97" s="89">
        <v>45257.219305555554</v>
      </c>
      <c r="AB97" s="82"/>
      <c r="AC97" s="82"/>
      <c r="AD97" s="85" t="s">
        <v>2423</v>
      </c>
      <c r="AE97" s="84" t="str">
        <f>REPLACE(INDEX(GroupVertices[Group],MATCH("~"&amp;Edges[[#This Row],[Vertex 1]],GroupVertices[Vertex],0)),1,1,"")</f>
        <v>6</v>
      </c>
      <c r="AF97" s="84" t="str">
        <f>REPLACE(INDEX(GroupVertices[Group],MATCH("~"&amp;Edges[[#This Row],[Vertex 2]],GroupVertices[Vertex],0)),1,1,"")</f>
        <v>6</v>
      </c>
    </row>
    <row r="98" spans="1:32" ht="15">
      <c r="A98" s="66" t="s">
        <v>296</v>
      </c>
      <c r="B98" s="66" t="s">
        <v>901</v>
      </c>
      <c r="C98" s="67"/>
      <c r="D98" s="68"/>
      <c r="E98" s="69"/>
      <c r="F98" s="70"/>
      <c r="G98" s="67"/>
      <c r="H98" s="71"/>
      <c r="I98" s="72"/>
      <c r="J98" s="72"/>
      <c r="K98" s="35"/>
      <c r="L98" s="80">
        <v>98</v>
      </c>
      <c r="M98" s="80"/>
      <c r="N98" s="74"/>
      <c r="O98" s="82" t="s">
        <v>909</v>
      </c>
      <c r="P98" s="82" t="s">
        <v>197</v>
      </c>
      <c r="Q98" s="85" t="s">
        <v>1005</v>
      </c>
      <c r="R98" s="82" t="s">
        <v>296</v>
      </c>
      <c r="S98" s="82" t="s">
        <v>1762</v>
      </c>
      <c r="T98" s="87" t="str">
        <f>HYPERLINK("http://www.youtube.com/channel/UCtjkxfb20n53ZJ5TfTKNOTA")</f>
        <v>http://www.youtube.com/channel/UCtjkxfb20n53ZJ5TfTKNOTA</v>
      </c>
      <c r="U98" s="82"/>
      <c r="V98" s="82" t="s">
        <v>2368</v>
      </c>
      <c r="W98" s="87" t="str">
        <f t="shared" si="3"/>
        <v>https://www.youtube.com/watch?v=gLvkWpnzba8</v>
      </c>
      <c r="X98" s="82" t="s">
        <v>2384</v>
      </c>
      <c r="Y98" s="82">
        <v>0</v>
      </c>
      <c r="Z98" s="89">
        <v>45257.28340277778</v>
      </c>
      <c r="AA98" s="89">
        <v>45257.28340277778</v>
      </c>
      <c r="AB98" s="82"/>
      <c r="AC98" s="82"/>
      <c r="AD98" s="85" t="s">
        <v>2423</v>
      </c>
      <c r="AE98" s="84" t="str">
        <f>REPLACE(INDEX(GroupVertices[Group],MATCH("~"&amp;Edges[[#This Row],[Vertex 1]],GroupVertices[Vertex],0)),1,1,"")</f>
        <v>6</v>
      </c>
      <c r="AF98" s="84" t="str">
        <f>REPLACE(INDEX(GroupVertices[Group],MATCH("~"&amp;Edges[[#This Row],[Vertex 2]],GroupVertices[Vertex],0)),1,1,"")</f>
        <v>6</v>
      </c>
    </row>
    <row r="99" spans="1:32" ht="15">
      <c r="A99" s="66" t="s">
        <v>297</v>
      </c>
      <c r="B99" s="66" t="s">
        <v>901</v>
      </c>
      <c r="C99" s="67"/>
      <c r="D99" s="68"/>
      <c r="E99" s="69"/>
      <c r="F99" s="70"/>
      <c r="G99" s="67"/>
      <c r="H99" s="71"/>
      <c r="I99" s="72"/>
      <c r="J99" s="72"/>
      <c r="K99" s="35"/>
      <c r="L99" s="80">
        <v>99</v>
      </c>
      <c r="M99" s="80"/>
      <c r="N99" s="74"/>
      <c r="O99" s="82" t="s">
        <v>909</v>
      </c>
      <c r="P99" s="82" t="s">
        <v>197</v>
      </c>
      <c r="Q99" s="85" t="s">
        <v>1006</v>
      </c>
      <c r="R99" s="82" t="s">
        <v>297</v>
      </c>
      <c r="S99" s="82" t="s">
        <v>1763</v>
      </c>
      <c r="T99" s="87" t="str">
        <f>HYPERLINK("http://www.youtube.com/channel/UCFw01XA3rTRopNj5rCizjjg")</f>
        <v>http://www.youtube.com/channel/UCFw01XA3rTRopNj5rCizjjg</v>
      </c>
      <c r="U99" s="82"/>
      <c r="V99" s="82" t="s">
        <v>2368</v>
      </c>
      <c r="W99" s="87" t="str">
        <f t="shared" si="3"/>
        <v>https://www.youtube.com/watch?v=gLvkWpnzba8</v>
      </c>
      <c r="X99" s="82" t="s">
        <v>2384</v>
      </c>
      <c r="Y99" s="82">
        <v>0</v>
      </c>
      <c r="Z99" s="89">
        <v>45257.3233912037</v>
      </c>
      <c r="AA99" s="89">
        <v>45257.3233912037</v>
      </c>
      <c r="AB99" s="82"/>
      <c r="AC99" s="82"/>
      <c r="AD99" s="85" t="s">
        <v>2423</v>
      </c>
      <c r="AE99" s="84" t="str">
        <f>REPLACE(INDEX(GroupVertices[Group],MATCH("~"&amp;Edges[[#This Row],[Vertex 1]],GroupVertices[Vertex],0)),1,1,"")</f>
        <v>6</v>
      </c>
      <c r="AF99" s="84" t="str">
        <f>REPLACE(INDEX(GroupVertices[Group],MATCH("~"&amp;Edges[[#This Row],[Vertex 2]],GroupVertices[Vertex],0)),1,1,"")</f>
        <v>6</v>
      </c>
    </row>
    <row r="100" spans="1:32" ht="15">
      <c r="A100" s="66" t="s">
        <v>298</v>
      </c>
      <c r="B100" s="66" t="s">
        <v>901</v>
      </c>
      <c r="C100" s="67"/>
      <c r="D100" s="68"/>
      <c r="E100" s="69"/>
      <c r="F100" s="70"/>
      <c r="G100" s="67"/>
      <c r="H100" s="71"/>
      <c r="I100" s="72"/>
      <c r="J100" s="72"/>
      <c r="K100" s="35"/>
      <c r="L100" s="80">
        <v>100</v>
      </c>
      <c r="M100" s="80"/>
      <c r="N100" s="74"/>
      <c r="O100" s="82" t="s">
        <v>909</v>
      </c>
      <c r="P100" s="82" t="s">
        <v>197</v>
      </c>
      <c r="Q100" s="85" t="s">
        <v>1007</v>
      </c>
      <c r="R100" s="82" t="s">
        <v>298</v>
      </c>
      <c r="S100" s="82" t="s">
        <v>1764</v>
      </c>
      <c r="T100" s="87" t="str">
        <f>HYPERLINK("http://www.youtube.com/channel/UChdurFkD6WA-JyjDoKBpGyA")</f>
        <v>http://www.youtube.com/channel/UChdurFkD6WA-JyjDoKBpGyA</v>
      </c>
      <c r="U100" s="82"/>
      <c r="V100" s="82" t="s">
        <v>2368</v>
      </c>
      <c r="W100" s="87" t="str">
        <f t="shared" si="3"/>
        <v>https://www.youtube.com/watch?v=gLvkWpnzba8</v>
      </c>
      <c r="X100" s="82" t="s">
        <v>2384</v>
      </c>
      <c r="Y100" s="82">
        <v>0</v>
      </c>
      <c r="Z100" s="89">
        <v>45257.45240740741</v>
      </c>
      <c r="AA100" s="89">
        <v>45257.45240740741</v>
      </c>
      <c r="AB100" s="82"/>
      <c r="AC100" s="82"/>
      <c r="AD100" s="85" t="s">
        <v>2423</v>
      </c>
      <c r="AE100" s="84" t="str">
        <f>REPLACE(INDEX(GroupVertices[Group],MATCH("~"&amp;Edges[[#This Row],[Vertex 1]],GroupVertices[Vertex],0)),1,1,"")</f>
        <v>6</v>
      </c>
      <c r="AF100" s="84" t="str">
        <f>REPLACE(INDEX(GroupVertices[Group],MATCH("~"&amp;Edges[[#This Row],[Vertex 2]],GroupVertices[Vertex],0)),1,1,"")</f>
        <v>6</v>
      </c>
    </row>
    <row r="101" spans="1:32" ht="15">
      <c r="A101" s="66" t="s">
        <v>299</v>
      </c>
      <c r="B101" s="66" t="s">
        <v>901</v>
      </c>
      <c r="C101" s="67"/>
      <c r="D101" s="68"/>
      <c r="E101" s="69"/>
      <c r="F101" s="70"/>
      <c r="G101" s="67"/>
      <c r="H101" s="71"/>
      <c r="I101" s="72"/>
      <c r="J101" s="72"/>
      <c r="K101" s="35"/>
      <c r="L101" s="80">
        <v>101</v>
      </c>
      <c r="M101" s="80"/>
      <c r="N101" s="74"/>
      <c r="O101" s="82" t="s">
        <v>909</v>
      </c>
      <c r="P101" s="82" t="s">
        <v>197</v>
      </c>
      <c r="Q101" s="85" t="s">
        <v>1008</v>
      </c>
      <c r="R101" s="82" t="s">
        <v>299</v>
      </c>
      <c r="S101" s="82" t="s">
        <v>1765</v>
      </c>
      <c r="T101" s="87" t="str">
        <f>HYPERLINK("http://www.youtube.com/channel/UCIxxE98oMjwxtRYWqx1h2bg")</f>
        <v>http://www.youtube.com/channel/UCIxxE98oMjwxtRYWqx1h2bg</v>
      </c>
      <c r="U101" s="82"/>
      <c r="V101" s="82" t="s">
        <v>2368</v>
      </c>
      <c r="W101" s="87" t="str">
        <f t="shared" si="3"/>
        <v>https://www.youtube.com/watch?v=gLvkWpnzba8</v>
      </c>
      <c r="X101" s="82" t="s">
        <v>2384</v>
      </c>
      <c r="Y101" s="82">
        <v>0</v>
      </c>
      <c r="Z101" s="89">
        <v>45258.04690972222</v>
      </c>
      <c r="AA101" s="89">
        <v>45258.04690972222</v>
      </c>
      <c r="AB101" s="82"/>
      <c r="AC101" s="82"/>
      <c r="AD101" s="85" t="s">
        <v>2423</v>
      </c>
      <c r="AE101" s="84" t="str">
        <f>REPLACE(INDEX(GroupVertices[Group],MATCH("~"&amp;Edges[[#This Row],[Vertex 1]],GroupVertices[Vertex],0)),1,1,"")</f>
        <v>6</v>
      </c>
      <c r="AF101" s="84" t="str">
        <f>REPLACE(INDEX(GroupVertices[Group],MATCH("~"&amp;Edges[[#This Row],[Vertex 2]],GroupVertices[Vertex],0)),1,1,"")</f>
        <v>6</v>
      </c>
    </row>
    <row r="102" spans="1:32" ht="15">
      <c r="A102" s="66" t="s">
        <v>300</v>
      </c>
      <c r="B102" s="66" t="s">
        <v>901</v>
      </c>
      <c r="C102" s="67"/>
      <c r="D102" s="68"/>
      <c r="E102" s="69"/>
      <c r="F102" s="70"/>
      <c r="G102" s="67"/>
      <c r="H102" s="71"/>
      <c r="I102" s="72"/>
      <c r="J102" s="72"/>
      <c r="K102" s="35"/>
      <c r="L102" s="80">
        <v>102</v>
      </c>
      <c r="M102" s="80"/>
      <c r="N102" s="74"/>
      <c r="O102" s="82" t="s">
        <v>909</v>
      </c>
      <c r="P102" s="82" t="s">
        <v>197</v>
      </c>
      <c r="Q102" s="85" t="s">
        <v>1009</v>
      </c>
      <c r="R102" s="82" t="s">
        <v>300</v>
      </c>
      <c r="S102" s="82" t="s">
        <v>1766</v>
      </c>
      <c r="T102" s="87" t="str">
        <f>HYPERLINK("http://www.youtube.com/channel/UCg87RA2-t78aRHyGoF9tyyg")</f>
        <v>http://www.youtube.com/channel/UCg87RA2-t78aRHyGoF9tyyg</v>
      </c>
      <c r="U102" s="82"/>
      <c r="V102" s="82" t="s">
        <v>2368</v>
      </c>
      <c r="W102" s="87" t="str">
        <f t="shared" si="3"/>
        <v>https://www.youtube.com/watch?v=gLvkWpnzba8</v>
      </c>
      <c r="X102" s="82" t="s">
        <v>2384</v>
      </c>
      <c r="Y102" s="82">
        <v>0</v>
      </c>
      <c r="Z102" s="89">
        <v>45258.086851851855</v>
      </c>
      <c r="AA102" s="89">
        <v>45258.086851851855</v>
      </c>
      <c r="AB102" s="82"/>
      <c r="AC102" s="82"/>
      <c r="AD102" s="85" t="s">
        <v>2423</v>
      </c>
      <c r="AE102" s="84" t="str">
        <f>REPLACE(INDEX(GroupVertices[Group],MATCH("~"&amp;Edges[[#This Row],[Vertex 1]],GroupVertices[Vertex],0)),1,1,"")</f>
        <v>6</v>
      </c>
      <c r="AF102" s="84" t="str">
        <f>REPLACE(INDEX(GroupVertices[Group],MATCH("~"&amp;Edges[[#This Row],[Vertex 2]],GroupVertices[Vertex],0)),1,1,"")</f>
        <v>6</v>
      </c>
    </row>
    <row r="103" spans="1:32" ht="15">
      <c r="A103" s="66" t="s">
        <v>301</v>
      </c>
      <c r="B103" s="66" t="s">
        <v>901</v>
      </c>
      <c r="C103" s="67"/>
      <c r="D103" s="68"/>
      <c r="E103" s="69"/>
      <c r="F103" s="70"/>
      <c r="G103" s="67"/>
      <c r="H103" s="71"/>
      <c r="I103" s="72"/>
      <c r="J103" s="72"/>
      <c r="K103" s="35"/>
      <c r="L103" s="80">
        <v>103</v>
      </c>
      <c r="M103" s="80"/>
      <c r="N103" s="74"/>
      <c r="O103" s="82" t="s">
        <v>909</v>
      </c>
      <c r="P103" s="82" t="s">
        <v>197</v>
      </c>
      <c r="Q103" s="85" t="s">
        <v>1010</v>
      </c>
      <c r="R103" s="82" t="s">
        <v>301</v>
      </c>
      <c r="S103" s="82" t="s">
        <v>1767</v>
      </c>
      <c r="T103" s="87" t="str">
        <f>HYPERLINK("http://www.youtube.com/channel/UCIfWs-Cc-utBTqfOczqD-lg")</f>
        <v>http://www.youtube.com/channel/UCIfWs-Cc-utBTqfOczqD-lg</v>
      </c>
      <c r="U103" s="82"/>
      <c r="V103" s="82" t="s">
        <v>2368</v>
      </c>
      <c r="W103" s="87" t="str">
        <f t="shared" si="3"/>
        <v>https://www.youtube.com/watch?v=gLvkWpnzba8</v>
      </c>
      <c r="X103" s="82" t="s">
        <v>2384</v>
      </c>
      <c r="Y103" s="82">
        <v>0</v>
      </c>
      <c r="Z103" s="89">
        <v>45258.27460648148</v>
      </c>
      <c r="AA103" s="89">
        <v>45258.27460648148</v>
      </c>
      <c r="AB103" s="82"/>
      <c r="AC103" s="82"/>
      <c r="AD103" s="85" t="s">
        <v>2423</v>
      </c>
      <c r="AE103" s="84" t="str">
        <f>REPLACE(INDEX(GroupVertices[Group],MATCH("~"&amp;Edges[[#This Row],[Vertex 1]],GroupVertices[Vertex],0)),1,1,"")</f>
        <v>6</v>
      </c>
      <c r="AF103" s="84" t="str">
        <f>REPLACE(INDEX(GroupVertices[Group],MATCH("~"&amp;Edges[[#This Row],[Vertex 2]],GroupVertices[Vertex],0)),1,1,"")</f>
        <v>6</v>
      </c>
    </row>
    <row r="104" spans="1:32" ht="15">
      <c r="A104" s="66" t="s">
        <v>302</v>
      </c>
      <c r="B104" s="66" t="s">
        <v>901</v>
      </c>
      <c r="C104" s="67"/>
      <c r="D104" s="68"/>
      <c r="E104" s="69"/>
      <c r="F104" s="70"/>
      <c r="G104" s="67"/>
      <c r="H104" s="71"/>
      <c r="I104" s="72"/>
      <c r="J104" s="72"/>
      <c r="K104" s="35"/>
      <c r="L104" s="80">
        <v>104</v>
      </c>
      <c r="M104" s="80"/>
      <c r="N104" s="74"/>
      <c r="O104" s="82" t="s">
        <v>909</v>
      </c>
      <c r="P104" s="82" t="s">
        <v>197</v>
      </c>
      <c r="Q104" s="85" t="s">
        <v>1011</v>
      </c>
      <c r="R104" s="82" t="s">
        <v>302</v>
      </c>
      <c r="S104" s="82" t="s">
        <v>1768</v>
      </c>
      <c r="T104" s="87" t="str">
        <f>HYPERLINK("http://www.youtube.com/channel/UC19k4LxgCVSjWv7NZOvNeeA")</f>
        <v>http://www.youtube.com/channel/UC19k4LxgCVSjWv7NZOvNeeA</v>
      </c>
      <c r="U104" s="82"/>
      <c r="V104" s="82" t="s">
        <v>2368</v>
      </c>
      <c r="W104" s="87" t="str">
        <f t="shared" si="3"/>
        <v>https://www.youtube.com/watch?v=gLvkWpnzba8</v>
      </c>
      <c r="X104" s="82" t="s">
        <v>2384</v>
      </c>
      <c r="Y104" s="82">
        <v>2</v>
      </c>
      <c r="Z104" s="89">
        <v>45258.28376157407</v>
      </c>
      <c r="AA104" s="89">
        <v>45258.28376157407</v>
      </c>
      <c r="AB104" s="82"/>
      <c r="AC104" s="82"/>
      <c r="AD104" s="85" t="s">
        <v>2423</v>
      </c>
      <c r="AE104" s="84" t="str">
        <f>REPLACE(INDEX(GroupVertices[Group],MATCH("~"&amp;Edges[[#This Row],[Vertex 1]],GroupVertices[Vertex],0)),1,1,"")</f>
        <v>6</v>
      </c>
      <c r="AF104" s="84" t="str">
        <f>REPLACE(INDEX(GroupVertices[Group],MATCH("~"&amp;Edges[[#This Row],[Vertex 2]],GroupVertices[Vertex],0)),1,1,"")</f>
        <v>6</v>
      </c>
    </row>
    <row r="105" spans="1:32" ht="15">
      <c r="A105" s="66" t="s">
        <v>303</v>
      </c>
      <c r="B105" s="66" t="s">
        <v>901</v>
      </c>
      <c r="C105" s="67"/>
      <c r="D105" s="68"/>
      <c r="E105" s="69"/>
      <c r="F105" s="70"/>
      <c r="G105" s="67"/>
      <c r="H105" s="71"/>
      <c r="I105" s="72"/>
      <c r="J105" s="72"/>
      <c r="K105" s="35"/>
      <c r="L105" s="80">
        <v>105</v>
      </c>
      <c r="M105" s="80"/>
      <c r="N105" s="74"/>
      <c r="O105" s="82" t="s">
        <v>909</v>
      </c>
      <c r="P105" s="82" t="s">
        <v>197</v>
      </c>
      <c r="Q105" s="85" t="s">
        <v>1012</v>
      </c>
      <c r="R105" s="82" t="s">
        <v>303</v>
      </c>
      <c r="S105" s="82" t="s">
        <v>1769</v>
      </c>
      <c r="T105" s="87" t="str">
        <f>HYPERLINK("http://www.youtube.com/channel/UCh3Se-divVdkFpb5PwM5K_A")</f>
        <v>http://www.youtube.com/channel/UCh3Se-divVdkFpb5PwM5K_A</v>
      </c>
      <c r="U105" s="82"/>
      <c r="V105" s="82" t="s">
        <v>2368</v>
      </c>
      <c r="W105" s="87" t="str">
        <f t="shared" si="3"/>
        <v>https://www.youtube.com/watch?v=gLvkWpnzba8</v>
      </c>
      <c r="X105" s="82" t="s">
        <v>2384</v>
      </c>
      <c r="Y105" s="82">
        <v>0</v>
      </c>
      <c r="Z105" s="89">
        <v>45258.8446412037</v>
      </c>
      <c r="AA105" s="89">
        <v>45258.8446412037</v>
      </c>
      <c r="AB105" s="82"/>
      <c r="AC105" s="82"/>
      <c r="AD105" s="85" t="s">
        <v>2423</v>
      </c>
      <c r="AE105" s="84" t="str">
        <f>REPLACE(INDEX(GroupVertices[Group],MATCH("~"&amp;Edges[[#This Row],[Vertex 1]],GroupVertices[Vertex],0)),1,1,"")</f>
        <v>6</v>
      </c>
      <c r="AF105" s="84" t="str">
        <f>REPLACE(INDEX(GroupVertices[Group],MATCH("~"&amp;Edges[[#This Row],[Vertex 2]],GroupVertices[Vertex],0)),1,1,"")</f>
        <v>6</v>
      </c>
    </row>
    <row r="106" spans="1:32" ht="15">
      <c r="A106" s="66" t="s">
        <v>304</v>
      </c>
      <c r="B106" s="66" t="s">
        <v>901</v>
      </c>
      <c r="C106" s="67"/>
      <c r="D106" s="68"/>
      <c r="E106" s="69"/>
      <c r="F106" s="70"/>
      <c r="G106" s="67"/>
      <c r="H106" s="71"/>
      <c r="I106" s="72"/>
      <c r="J106" s="72"/>
      <c r="K106" s="35"/>
      <c r="L106" s="80">
        <v>106</v>
      </c>
      <c r="M106" s="80"/>
      <c r="N106" s="74"/>
      <c r="O106" s="82" t="s">
        <v>909</v>
      </c>
      <c r="P106" s="82" t="s">
        <v>197</v>
      </c>
      <c r="Q106" s="85" t="s">
        <v>1013</v>
      </c>
      <c r="R106" s="82" t="s">
        <v>304</v>
      </c>
      <c r="S106" s="82" t="s">
        <v>1770</v>
      </c>
      <c r="T106" s="87" t="str">
        <f>HYPERLINK("http://www.youtube.com/channel/UCstj25ALeqDPigVPCbNunMA")</f>
        <v>http://www.youtube.com/channel/UCstj25ALeqDPigVPCbNunMA</v>
      </c>
      <c r="U106" s="82"/>
      <c r="V106" s="82" t="s">
        <v>2368</v>
      </c>
      <c r="W106" s="87" t="str">
        <f t="shared" si="3"/>
        <v>https://www.youtube.com/watch?v=gLvkWpnzba8</v>
      </c>
      <c r="X106" s="82" t="s">
        <v>2384</v>
      </c>
      <c r="Y106" s="82">
        <v>1</v>
      </c>
      <c r="Z106" s="89">
        <v>45259.31317129629</v>
      </c>
      <c r="AA106" s="89">
        <v>45259.31317129629</v>
      </c>
      <c r="AB106" s="82"/>
      <c r="AC106" s="82"/>
      <c r="AD106" s="85" t="s">
        <v>2423</v>
      </c>
      <c r="AE106" s="84" t="str">
        <f>REPLACE(INDEX(GroupVertices[Group],MATCH("~"&amp;Edges[[#This Row],[Vertex 1]],GroupVertices[Vertex],0)),1,1,"")</f>
        <v>6</v>
      </c>
      <c r="AF106" s="84" t="str">
        <f>REPLACE(INDEX(GroupVertices[Group],MATCH("~"&amp;Edges[[#This Row],[Vertex 2]],GroupVertices[Vertex],0)),1,1,"")</f>
        <v>6</v>
      </c>
    </row>
    <row r="107" spans="1:32" ht="15">
      <c r="A107" s="66" t="s">
        <v>305</v>
      </c>
      <c r="B107" s="66" t="s">
        <v>901</v>
      </c>
      <c r="C107" s="67"/>
      <c r="D107" s="68"/>
      <c r="E107" s="69"/>
      <c r="F107" s="70"/>
      <c r="G107" s="67"/>
      <c r="H107" s="71"/>
      <c r="I107" s="72"/>
      <c r="J107" s="72"/>
      <c r="K107" s="35"/>
      <c r="L107" s="80">
        <v>107</v>
      </c>
      <c r="M107" s="80"/>
      <c r="N107" s="74"/>
      <c r="O107" s="82" t="s">
        <v>909</v>
      </c>
      <c r="P107" s="82" t="s">
        <v>197</v>
      </c>
      <c r="Q107" s="85" t="s">
        <v>1014</v>
      </c>
      <c r="R107" s="82" t="s">
        <v>305</v>
      </c>
      <c r="S107" s="82" t="s">
        <v>1771</v>
      </c>
      <c r="T107" s="87" t="str">
        <f>HYPERLINK("http://www.youtube.com/channel/UC3eRkwESmEGviuGkhnauICg")</f>
        <v>http://www.youtube.com/channel/UC3eRkwESmEGviuGkhnauICg</v>
      </c>
      <c r="U107" s="82"/>
      <c r="V107" s="82" t="s">
        <v>2368</v>
      </c>
      <c r="W107" s="87" t="str">
        <f t="shared" si="3"/>
        <v>https://www.youtube.com/watch?v=gLvkWpnzba8</v>
      </c>
      <c r="X107" s="82" t="s">
        <v>2384</v>
      </c>
      <c r="Y107" s="82">
        <v>7</v>
      </c>
      <c r="Z107" s="89">
        <v>45259.44909722222</v>
      </c>
      <c r="AA107" s="89">
        <v>45259.44909722222</v>
      </c>
      <c r="AB107" s="82"/>
      <c r="AC107" s="82"/>
      <c r="AD107" s="85" t="s">
        <v>2423</v>
      </c>
      <c r="AE107" s="84" t="str">
        <f>REPLACE(INDEX(GroupVertices[Group],MATCH("~"&amp;Edges[[#This Row],[Vertex 1]],GroupVertices[Vertex],0)),1,1,"")</f>
        <v>6</v>
      </c>
      <c r="AF107" s="84" t="str">
        <f>REPLACE(INDEX(GroupVertices[Group],MATCH("~"&amp;Edges[[#This Row],[Vertex 2]],GroupVertices[Vertex],0)),1,1,"")</f>
        <v>6</v>
      </c>
    </row>
    <row r="108" spans="1:32" ht="15">
      <c r="A108" s="66" t="s">
        <v>306</v>
      </c>
      <c r="B108" s="66" t="s">
        <v>901</v>
      </c>
      <c r="C108" s="67"/>
      <c r="D108" s="68"/>
      <c r="E108" s="69"/>
      <c r="F108" s="70"/>
      <c r="G108" s="67"/>
      <c r="H108" s="71"/>
      <c r="I108" s="72"/>
      <c r="J108" s="72"/>
      <c r="K108" s="35"/>
      <c r="L108" s="80">
        <v>108</v>
      </c>
      <c r="M108" s="80"/>
      <c r="N108" s="74"/>
      <c r="O108" s="82" t="s">
        <v>909</v>
      </c>
      <c r="P108" s="82" t="s">
        <v>197</v>
      </c>
      <c r="Q108" s="85" t="s">
        <v>1015</v>
      </c>
      <c r="R108" s="82" t="s">
        <v>306</v>
      </c>
      <c r="S108" s="82" t="s">
        <v>1772</v>
      </c>
      <c r="T108" s="87" t="str">
        <f>HYPERLINK("http://www.youtube.com/channel/UCsfNWGwpi43Y2Pkk7OGrQzQ")</f>
        <v>http://www.youtube.com/channel/UCsfNWGwpi43Y2Pkk7OGrQzQ</v>
      </c>
      <c r="U108" s="82"/>
      <c r="V108" s="82" t="s">
        <v>2368</v>
      </c>
      <c r="W108" s="87" t="str">
        <f t="shared" si="3"/>
        <v>https://www.youtube.com/watch?v=gLvkWpnzba8</v>
      </c>
      <c r="X108" s="82" t="s">
        <v>2384</v>
      </c>
      <c r="Y108" s="82">
        <v>0</v>
      </c>
      <c r="Z108" s="89">
        <v>45260.1353125</v>
      </c>
      <c r="AA108" s="89">
        <v>45260.1353125</v>
      </c>
      <c r="AB108" s="82"/>
      <c r="AC108" s="82"/>
      <c r="AD108" s="85" t="s">
        <v>2423</v>
      </c>
      <c r="AE108" s="84" t="str">
        <f>REPLACE(INDEX(GroupVertices[Group],MATCH("~"&amp;Edges[[#This Row],[Vertex 1]],GroupVertices[Vertex],0)),1,1,"")</f>
        <v>6</v>
      </c>
      <c r="AF108" s="84" t="str">
        <f>REPLACE(INDEX(GroupVertices[Group],MATCH("~"&amp;Edges[[#This Row],[Vertex 2]],GroupVertices[Vertex],0)),1,1,"")</f>
        <v>6</v>
      </c>
    </row>
    <row r="109" spans="1:32" ht="15">
      <c r="A109" s="66" t="s">
        <v>307</v>
      </c>
      <c r="B109" s="66" t="s">
        <v>901</v>
      </c>
      <c r="C109" s="67"/>
      <c r="D109" s="68"/>
      <c r="E109" s="69"/>
      <c r="F109" s="70"/>
      <c r="G109" s="67"/>
      <c r="H109" s="71"/>
      <c r="I109" s="72"/>
      <c r="J109" s="72"/>
      <c r="K109" s="35"/>
      <c r="L109" s="80">
        <v>109</v>
      </c>
      <c r="M109" s="80"/>
      <c r="N109" s="74"/>
      <c r="O109" s="82" t="s">
        <v>909</v>
      </c>
      <c r="P109" s="82" t="s">
        <v>197</v>
      </c>
      <c r="Q109" s="85" t="s">
        <v>1016</v>
      </c>
      <c r="R109" s="82" t="s">
        <v>307</v>
      </c>
      <c r="S109" s="82" t="s">
        <v>1773</v>
      </c>
      <c r="T109" s="87" t="str">
        <f>HYPERLINK("http://www.youtube.com/channel/UC6s5Idg_F-TXZEsnG6Clllw")</f>
        <v>http://www.youtube.com/channel/UC6s5Idg_F-TXZEsnG6Clllw</v>
      </c>
      <c r="U109" s="82"/>
      <c r="V109" s="82" t="s">
        <v>2368</v>
      </c>
      <c r="W109" s="87" t="str">
        <f t="shared" si="3"/>
        <v>https://www.youtube.com/watch?v=gLvkWpnzba8</v>
      </c>
      <c r="X109" s="82" t="s">
        <v>2384</v>
      </c>
      <c r="Y109" s="82">
        <v>1</v>
      </c>
      <c r="Z109" s="89">
        <v>45260.475439814814</v>
      </c>
      <c r="AA109" s="89">
        <v>45260.475439814814</v>
      </c>
      <c r="AB109" s="82"/>
      <c r="AC109" s="82"/>
      <c r="AD109" s="85" t="s">
        <v>2423</v>
      </c>
      <c r="AE109" s="84" t="str">
        <f>REPLACE(INDEX(GroupVertices[Group],MATCH("~"&amp;Edges[[#This Row],[Vertex 1]],GroupVertices[Vertex],0)),1,1,"")</f>
        <v>6</v>
      </c>
      <c r="AF109" s="84" t="str">
        <f>REPLACE(INDEX(GroupVertices[Group],MATCH("~"&amp;Edges[[#This Row],[Vertex 2]],GroupVertices[Vertex],0)),1,1,"")</f>
        <v>6</v>
      </c>
    </row>
    <row r="110" spans="1:32" ht="15">
      <c r="A110" s="66" t="s">
        <v>308</v>
      </c>
      <c r="B110" s="66" t="s">
        <v>901</v>
      </c>
      <c r="C110" s="67"/>
      <c r="D110" s="68"/>
      <c r="E110" s="69"/>
      <c r="F110" s="70"/>
      <c r="G110" s="67"/>
      <c r="H110" s="71"/>
      <c r="I110" s="72"/>
      <c r="J110" s="72"/>
      <c r="K110" s="35"/>
      <c r="L110" s="80">
        <v>110</v>
      </c>
      <c r="M110" s="80"/>
      <c r="N110" s="74"/>
      <c r="O110" s="82" t="s">
        <v>909</v>
      </c>
      <c r="P110" s="82" t="s">
        <v>197</v>
      </c>
      <c r="Q110" s="85" t="s">
        <v>1017</v>
      </c>
      <c r="R110" s="82" t="s">
        <v>308</v>
      </c>
      <c r="S110" s="82" t="s">
        <v>1774</v>
      </c>
      <c r="T110" s="87" t="str">
        <f>HYPERLINK("http://www.youtube.com/channel/UCvuHTnj3TwaPESOVScxBTng")</f>
        <v>http://www.youtube.com/channel/UCvuHTnj3TwaPESOVScxBTng</v>
      </c>
      <c r="U110" s="82"/>
      <c r="V110" s="82" t="s">
        <v>2368</v>
      </c>
      <c r="W110" s="87" t="str">
        <f t="shared" si="3"/>
        <v>https://www.youtube.com/watch?v=gLvkWpnzba8</v>
      </c>
      <c r="X110" s="82" t="s">
        <v>2384</v>
      </c>
      <c r="Y110" s="82">
        <v>0</v>
      </c>
      <c r="Z110" s="89">
        <v>45260.8353587963</v>
      </c>
      <c r="AA110" s="89">
        <v>45260.8353587963</v>
      </c>
      <c r="AB110" s="82"/>
      <c r="AC110" s="82"/>
      <c r="AD110" s="85" t="s">
        <v>2423</v>
      </c>
      <c r="AE110" s="84" t="str">
        <f>REPLACE(INDEX(GroupVertices[Group],MATCH("~"&amp;Edges[[#This Row],[Vertex 1]],GroupVertices[Vertex],0)),1,1,"")</f>
        <v>6</v>
      </c>
      <c r="AF110" s="84" t="str">
        <f>REPLACE(INDEX(GroupVertices[Group],MATCH("~"&amp;Edges[[#This Row],[Vertex 2]],GroupVertices[Vertex],0)),1,1,"")</f>
        <v>6</v>
      </c>
    </row>
    <row r="111" spans="1:32" ht="15">
      <c r="A111" s="66" t="s">
        <v>309</v>
      </c>
      <c r="B111" s="66" t="s">
        <v>901</v>
      </c>
      <c r="C111" s="67"/>
      <c r="D111" s="68"/>
      <c r="E111" s="69"/>
      <c r="F111" s="70"/>
      <c r="G111" s="67"/>
      <c r="H111" s="71"/>
      <c r="I111" s="72"/>
      <c r="J111" s="72"/>
      <c r="K111" s="35"/>
      <c r="L111" s="80">
        <v>111</v>
      </c>
      <c r="M111" s="80"/>
      <c r="N111" s="74"/>
      <c r="O111" s="82" t="s">
        <v>909</v>
      </c>
      <c r="P111" s="82" t="s">
        <v>197</v>
      </c>
      <c r="Q111" s="85" t="s">
        <v>1018</v>
      </c>
      <c r="R111" s="82" t="s">
        <v>309</v>
      </c>
      <c r="S111" s="82" t="s">
        <v>1775</v>
      </c>
      <c r="T111" s="87" t="str">
        <f>HYPERLINK("http://www.youtube.com/channel/UCeL0VP9DdotQN2UeaVU1dYw")</f>
        <v>http://www.youtube.com/channel/UCeL0VP9DdotQN2UeaVU1dYw</v>
      </c>
      <c r="U111" s="82"/>
      <c r="V111" s="82" t="s">
        <v>2368</v>
      </c>
      <c r="W111" s="87" t="str">
        <f t="shared" si="3"/>
        <v>https://www.youtube.com/watch?v=gLvkWpnzba8</v>
      </c>
      <c r="X111" s="82" t="s">
        <v>2384</v>
      </c>
      <c r="Y111" s="82">
        <v>0</v>
      </c>
      <c r="Z111" s="89">
        <v>45261.17023148148</v>
      </c>
      <c r="AA111" s="89">
        <v>45261.17023148148</v>
      </c>
      <c r="AB111" s="82"/>
      <c r="AC111" s="82"/>
      <c r="AD111" s="85" t="s">
        <v>2423</v>
      </c>
      <c r="AE111" s="84" t="str">
        <f>REPLACE(INDEX(GroupVertices[Group],MATCH("~"&amp;Edges[[#This Row],[Vertex 1]],GroupVertices[Vertex],0)),1,1,"")</f>
        <v>6</v>
      </c>
      <c r="AF111" s="84" t="str">
        <f>REPLACE(INDEX(GroupVertices[Group],MATCH("~"&amp;Edges[[#This Row],[Vertex 2]],GroupVertices[Vertex],0)),1,1,"")</f>
        <v>6</v>
      </c>
    </row>
    <row r="112" spans="1:32" ht="15">
      <c r="A112" s="66" t="s">
        <v>310</v>
      </c>
      <c r="B112" s="66" t="s">
        <v>901</v>
      </c>
      <c r="C112" s="67"/>
      <c r="D112" s="68"/>
      <c r="E112" s="69"/>
      <c r="F112" s="70"/>
      <c r="G112" s="67"/>
      <c r="H112" s="71"/>
      <c r="I112" s="72"/>
      <c r="J112" s="72"/>
      <c r="K112" s="35"/>
      <c r="L112" s="80">
        <v>112</v>
      </c>
      <c r="M112" s="80"/>
      <c r="N112" s="74"/>
      <c r="O112" s="82" t="s">
        <v>909</v>
      </c>
      <c r="P112" s="82" t="s">
        <v>197</v>
      </c>
      <c r="Q112" s="85" t="s">
        <v>1019</v>
      </c>
      <c r="R112" s="82" t="s">
        <v>310</v>
      </c>
      <c r="S112" s="82" t="s">
        <v>1776</v>
      </c>
      <c r="T112" s="87" t="str">
        <f>HYPERLINK("http://www.youtube.com/channel/UCajmjMqlO4PX_1lub9OVlDA")</f>
        <v>http://www.youtube.com/channel/UCajmjMqlO4PX_1lub9OVlDA</v>
      </c>
      <c r="U112" s="82"/>
      <c r="V112" s="82" t="s">
        <v>2368</v>
      </c>
      <c r="W112" s="87" t="str">
        <f t="shared" si="3"/>
        <v>https://www.youtube.com/watch?v=gLvkWpnzba8</v>
      </c>
      <c r="X112" s="82" t="s">
        <v>2384</v>
      </c>
      <c r="Y112" s="82">
        <v>0</v>
      </c>
      <c r="Z112" s="89">
        <v>45262.89400462963</v>
      </c>
      <c r="AA112" s="89">
        <v>45262.89400462963</v>
      </c>
      <c r="AB112" s="82" t="s">
        <v>2390</v>
      </c>
      <c r="AC112" s="82" t="s">
        <v>2414</v>
      </c>
      <c r="AD112" s="85" t="s">
        <v>2423</v>
      </c>
      <c r="AE112" s="84" t="str">
        <f>REPLACE(INDEX(GroupVertices[Group],MATCH("~"&amp;Edges[[#This Row],[Vertex 1]],GroupVertices[Vertex],0)),1,1,"")</f>
        <v>6</v>
      </c>
      <c r="AF112" s="84" t="str">
        <f>REPLACE(INDEX(GroupVertices[Group],MATCH("~"&amp;Edges[[#This Row],[Vertex 2]],GroupVertices[Vertex],0)),1,1,"")</f>
        <v>6</v>
      </c>
    </row>
    <row r="113" spans="1:32" ht="15">
      <c r="A113" s="66" t="s">
        <v>311</v>
      </c>
      <c r="B113" s="66" t="s">
        <v>901</v>
      </c>
      <c r="C113" s="67"/>
      <c r="D113" s="68"/>
      <c r="E113" s="69"/>
      <c r="F113" s="70"/>
      <c r="G113" s="67"/>
      <c r="H113" s="71"/>
      <c r="I113" s="72"/>
      <c r="J113" s="72"/>
      <c r="K113" s="35"/>
      <c r="L113" s="80">
        <v>113</v>
      </c>
      <c r="M113" s="80"/>
      <c r="N113" s="74"/>
      <c r="O113" s="82" t="s">
        <v>909</v>
      </c>
      <c r="P113" s="82" t="s">
        <v>197</v>
      </c>
      <c r="Q113" s="85" t="s">
        <v>1020</v>
      </c>
      <c r="R113" s="82" t="s">
        <v>311</v>
      </c>
      <c r="S113" s="82" t="s">
        <v>1777</v>
      </c>
      <c r="T113" s="87" t="str">
        <f>HYPERLINK("http://www.youtube.com/channel/UCiPYYzqbaZqkmYZmAxHs3yg")</f>
        <v>http://www.youtube.com/channel/UCiPYYzqbaZqkmYZmAxHs3yg</v>
      </c>
      <c r="U113" s="82"/>
      <c r="V113" s="82" t="s">
        <v>2368</v>
      </c>
      <c r="W113" s="87" t="str">
        <f t="shared" si="3"/>
        <v>https://www.youtube.com/watch?v=gLvkWpnzba8</v>
      </c>
      <c r="X113" s="82" t="s">
        <v>2384</v>
      </c>
      <c r="Y113" s="82">
        <v>0</v>
      </c>
      <c r="Z113" s="89">
        <v>45263.57796296296</v>
      </c>
      <c r="AA113" s="89">
        <v>45263.581921296296</v>
      </c>
      <c r="AB113" s="82"/>
      <c r="AC113" s="82"/>
      <c r="AD113" s="85" t="s">
        <v>2423</v>
      </c>
      <c r="AE113" s="84" t="str">
        <f>REPLACE(INDEX(GroupVertices[Group],MATCH("~"&amp;Edges[[#This Row],[Vertex 1]],GroupVertices[Vertex],0)),1,1,"")</f>
        <v>6</v>
      </c>
      <c r="AF113" s="84" t="str">
        <f>REPLACE(INDEX(GroupVertices[Group],MATCH("~"&amp;Edges[[#This Row],[Vertex 2]],GroupVertices[Vertex],0)),1,1,"")</f>
        <v>6</v>
      </c>
    </row>
    <row r="114" spans="1:32" ht="15">
      <c r="A114" s="66" t="s">
        <v>312</v>
      </c>
      <c r="B114" s="66" t="s">
        <v>901</v>
      </c>
      <c r="C114" s="67"/>
      <c r="D114" s="68"/>
      <c r="E114" s="69"/>
      <c r="F114" s="70"/>
      <c r="G114" s="67"/>
      <c r="H114" s="71"/>
      <c r="I114" s="72"/>
      <c r="J114" s="72"/>
      <c r="K114" s="35"/>
      <c r="L114" s="80">
        <v>114</v>
      </c>
      <c r="M114" s="80"/>
      <c r="N114" s="74"/>
      <c r="O114" s="82" t="s">
        <v>909</v>
      </c>
      <c r="P114" s="82" t="s">
        <v>197</v>
      </c>
      <c r="Q114" s="85" t="s">
        <v>1021</v>
      </c>
      <c r="R114" s="82" t="s">
        <v>312</v>
      </c>
      <c r="S114" s="82" t="s">
        <v>1778</v>
      </c>
      <c r="T114" s="87" t="str">
        <f>HYPERLINK("http://www.youtube.com/channel/UCUvsx-Xqp2WHI5fa6U6DB_A")</f>
        <v>http://www.youtube.com/channel/UCUvsx-Xqp2WHI5fa6U6DB_A</v>
      </c>
      <c r="U114" s="82"/>
      <c r="V114" s="82" t="s">
        <v>2368</v>
      </c>
      <c r="W114" s="87" t="str">
        <f t="shared" si="3"/>
        <v>https://www.youtube.com/watch?v=gLvkWpnzba8</v>
      </c>
      <c r="X114" s="82" t="s">
        <v>2384</v>
      </c>
      <c r="Y114" s="82">
        <v>0</v>
      </c>
      <c r="Z114" s="89">
        <v>45263.660532407404</v>
      </c>
      <c r="AA114" s="89">
        <v>45263.660532407404</v>
      </c>
      <c r="AB114" s="82"/>
      <c r="AC114" s="82"/>
      <c r="AD114" s="85" t="s">
        <v>2423</v>
      </c>
      <c r="AE114" s="84" t="str">
        <f>REPLACE(INDEX(GroupVertices[Group],MATCH("~"&amp;Edges[[#This Row],[Vertex 1]],GroupVertices[Vertex],0)),1,1,"")</f>
        <v>6</v>
      </c>
      <c r="AF114" s="84" t="str">
        <f>REPLACE(INDEX(GroupVertices[Group],MATCH("~"&amp;Edges[[#This Row],[Vertex 2]],GroupVertices[Vertex],0)),1,1,"")</f>
        <v>6</v>
      </c>
    </row>
    <row r="115" spans="1:32" ht="15">
      <c r="A115" s="66" t="s">
        <v>313</v>
      </c>
      <c r="B115" s="66" t="s">
        <v>901</v>
      </c>
      <c r="C115" s="67"/>
      <c r="D115" s="68"/>
      <c r="E115" s="69"/>
      <c r="F115" s="70"/>
      <c r="G115" s="67"/>
      <c r="H115" s="71"/>
      <c r="I115" s="72"/>
      <c r="J115" s="72"/>
      <c r="K115" s="35"/>
      <c r="L115" s="80">
        <v>115</v>
      </c>
      <c r="M115" s="80"/>
      <c r="N115" s="74"/>
      <c r="O115" s="82" t="s">
        <v>909</v>
      </c>
      <c r="P115" s="82" t="s">
        <v>197</v>
      </c>
      <c r="Q115" s="85" t="s">
        <v>1022</v>
      </c>
      <c r="R115" s="82" t="s">
        <v>313</v>
      </c>
      <c r="S115" s="82" t="s">
        <v>1779</v>
      </c>
      <c r="T115" s="87" t="str">
        <f>HYPERLINK("http://www.youtube.com/channel/UCjIlhKpZohPeyDaTBs9q_lw")</f>
        <v>http://www.youtube.com/channel/UCjIlhKpZohPeyDaTBs9q_lw</v>
      </c>
      <c r="U115" s="82"/>
      <c r="V115" s="82" t="s">
        <v>2368</v>
      </c>
      <c r="W115" s="87" t="str">
        <f t="shared" si="3"/>
        <v>https://www.youtube.com/watch?v=gLvkWpnzba8</v>
      </c>
      <c r="X115" s="82" t="s">
        <v>2384</v>
      </c>
      <c r="Y115" s="82">
        <v>0</v>
      </c>
      <c r="Z115" s="89">
        <v>45263.78157407408</v>
      </c>
      <c r="AA115" s="89">
        <v>45263.78157407408</v>
      </c>
      <c r="AB115" s="82"/>
      <c r="AC115" s="82"/>
      <c r="AD115" s="85" t="s">
        <v>2423</v>
      </c>
      <c r="AE115" s="84" t="str">
        <f>REPLACE(INDEX(GroupVertices[Group],MATCH("~"&amp;Edges[[#This Row],[Vertex 1]],GroupVertices[Vertex],0)),1,1,"")</f>
        <v>6</v>
      </c>
      <c r="AF115" s="84" t="str">
        <f>REPLACE(INDEX(GroupVertices[Group],MATCH("~"&amp;Edges[[#This Row],[Vertex 2]],GroupVertices[Vertex],0)),1,1,"")</f>
        <v>6</v>
      </c>
    </row>
    <row r="116" spans="1:32" ht="15">
      <c r="A116" s="66" t="s">
        <v>314</v>
      </c>
      <c r="B116" s="66" t="s">
        <v>901</v>
      </c>
      <c r="C116" s="67"/>
      <c r="D116" s="68"/>
      <c r="E116" s="69"/>
      <c r="F116" s="70"/>
      <c r="G116" s="67"/>
      <c r="H116" s="71"/>
      <c r="I116" s="72"/>
      <c r="J116" s="72"/>
      <c r="K116" s="35"/>
      <c r="L116" s="80">
        <v>116</v>
      </c>
      <c r="M116" s="80"/>
      <c r="N116" s="74"/>
      <c r="O116" s="82" t="s">
        <v>909</v>
      </c>
      <c r="P116" s="82" t="s">
        <v>197</v>
      </c>
      <c r="Q116" s="85" t="s">
        <v>1023</v>
      </c>
      <c r="R116" s="82" t="s">
        <v>314</v>
      </c>
      <c r="S116" s="82" t="s">
        <v>1780</v>
      </c>
      <c r="T116" s="87" t="str">
        <f>HYPERLINK("http://www.youtube.com/channel/UChfVVfDoYmqlgezM1nXe_KA")</f>
        <v>http://www.youtube.com/channel/UChfVVfDoYmqlgezM1nXe_KA</v>
      </c>
      <c r="U116" s="82"/>
      <c r="V116" s="82" t="s">
        <v>2368</v>
      </c>
      <c r="W116" s="87" t="str">
        <f t="shared" si="3"/>
        <v>https://www.youtube.com/watch?v=gLvkWpnzba8</v>
      </c>
      <c r="X116" s="82" t="s">
        <v>2384</v>
      </c>
      <c r="Y116" s="82">
        <v>0</v>
      </c>
      <c r="Z116" s="89">
        <v>45263.958449074074</v>
      </c>
      <c r="AA116" s="89">
        <v>45263.958449074074</v>
      </c>
      <c r="AB116" s="82" t="s">
        <v>2391</v>
      </c>
      <c r="AC116" s="82" t="s">
        <v>2415</v>
      </c>
      <c r="AD116" s="85" t="s">
        <v>2423</v>
      </c>
      <c r="AE116" s="84" t="str">
        <f>REPLACE(INDEX(GroupVertices[Group],MATCH("~"&amp;Edges[[#This Row],[Vertex 1]],GroupVertices[Vertex],0)),1,1,"")</f>
        <v>6</v>
      </c>
      <c r="AF116" s="84" t="str">
        <f>REPLACE(INDEX(GroupVertices[Group],MATCH("~"&amp;Edges[[#This Row],[Vertex 2]],GroupVertices[Vertex],0)),1,1,"")</f>
        <v>6</v>
      </c>
    </row>
    <row r="117" spans="1:32" ht="15">
      <c r="A117" s="66" t="s">
        <v>315</v>
      </c>
      <c r="B117" s="66" t="s">
        <v>901</v>
      </c>
      <c r="C117" s="67"/>
      <c r="D117" s="68"/>
      <c r="E117" s="69"/>
      <c r="F117" s="70"/>
      <c r="G117" s="67"/>
      <c r="H117" s="71"/>
      <c r="I117" s="72"/>
      <c r="J117" s="72"/>
      <c r="K117" s="35"/>
      <c r="L117" s="80">
        <v>117</v>
      </c>
      <c r="M117" s="80"/>
      <c r="N117" s="74"/>
      <c r="O117" s="82" t="s">
        <v>909</v>
      </c>
      <c r="P117" s="82" t="s">
        <v>197</v>
      </c>
      <c r="Q117" s="85" t="s">
        <v>1024</v>
      </c>
      <c r="R117" s="82" t="s">
        <v>315</v>
      </c>
      <c r="S117" s="82" t="s">
        <v>1781</v>
      </c>
      <c r="T117" s="87" t="str">
        <f>HYPERLINK("http://www.youtube.com/channel/UCekBi9bmu4DHFOvcMbqaw7Q")</f>
        <v>http://www.youtube.com/channel/UCekBi9bmu4DHFOvcMbqaw7Q</v>
      </c>
      <c r="U117" s="82"/>
      <c r="V117" s="82" t="s">
        <v>2368</v>
      </c>
      <c r="W117" s="87" t="str">
        <f t="shared" si="3"/>
        <v>https://www.youtube.com/watch?v=gLvkWpnzba8</v>
      </c>
      <c r="X117" s="82" t="s">
        <v>2384</v>
      </c>
      <c r="Y117" s="82">
        <v>0</v>
      </c>
      <c r="Z117" s="89">
        <v>45264.00215277778</v>
      </c>
      <c r="AA117" s="89">
        <v>45264.00325231482</v>
      </c>
      <c r="AB117" s="82"/>
      <c r="AC117" s="82"/>
      <c r="AD117" s="85" t="s">
        <v>2423</v>
      </c>
      <c r="AE117" s="84" t="str">
        <f>REPLACE(INDEX(GroupVertices[Group],MATCH("~"&amp;Edges[[#This Row],[Vertex 1]],GroupVertices[Vertex],0)),1,1,"")</f>
        <v>6</v>
      </c>
      <c r="AF117" s="84" t="str">
        <f>REPLACE(INDEX(GroupVertices[Group],MATCH("~"&amp;Edges[[#This Row],[Vertex 2]],GroupVertices[Vertex],0)),1,1,"")</f>
        <v>6</v>
      </c>
    </row>
    <row r="118" spans="1:32" ht="15">
      <c r="A118" s="66" t="s">
        <v>316</v>
      </c>
      <c r="B118" s="66" t="s">
        <v>901</v>
      </c>
      <c r="C118" s="67"/>
      <c r="D118" s="68"/>
      <c r="E118" s="69"/>
      <c r="F118" s="70"/>
      <c r="G118" s="67"/>
      <c r="H118" s="71"/>
      <c r="I118" s="72"/>
      <c r="J118" s="72"/>
      <c r="K118" s="35"/>
      <c r="L118" s="80">
        <v>118</v>
      </c>
      <c r="M118" s="80"/>
      <c r="N118" s="74"/>
      <c r="O118" s="82" t="s">
        <v>909</v>
      </c>
      <c r="P118" s="82" t="s">
        <v>197</v>
      </c>
      <c r="Q118" s="85" t="s">
        <v>1025</v>
      </c>
      <c r="R118" s="82" t="s">
        <v>316</v>
      </c>
      <c r="S118" s="82" t="s">
        <v>1782</v>
      </c>
      <c r="T118" s="87" t="str">
        <f>HYPERLINK("http://www.youtube.com/channel/UCG88vWMW0gxWBX6Nsx9lfCA")</f>
        <v>http://www.youtube.com/channel/UCG88vWMW0gxWBX6Nsx9lfCA</v>
      </c>
      <c r="U118" s="82"/>
      <c r="V118" s="82" t="s">
        <v>2368</v>
      </c>
      <c r="W118" s="87" t="str">
        <f t="shared" si="3"/>
        <v>https://www.youtube.com/watch?v=gLvkWpnzba8</v>
      </c>
      <c r="X118" s="82" t="s">
        <v>2384</v>
      </c>
      <c r="Y118" s="82">
        <v>2</v>
      </c>
      <c r="Z118" s="89">
        <v>45264.4259375</v>
      </c>
      <c r="AA118" s="89">
        <v>45264.4259375</v>
      </c>
      <c r="AB118" s="82"/>
      <c r="AC118" s="82"/>
      <c r="AD118" s="85" t="s">
        <v>2423</v>
      </c>
      <c r="AE118" s="84" t="str">
        <f>REPLACE(INDEX(GroupVertices[Group],MATCH("~"&amp;Edges[[#This Row],[Vertex 1]],GroupVertices[Vertex],0)),1,1,"")</f>
        <v>6</v>
      </c>
      <c r="AF118" s="84" t="str">
        <f>REPLACE(INDEX(GroupVertices[Group],MATCH("~"&amp;Edges[[#This Row],[Vertex 2]],GroupVertices[Vertex],0)),1,1,"")</f>
        <v>6</v>
      </c>
    </row>
    <row r="119" spans="1:32" ht="15">
      <c r="A119" s="66" t="s">
        <v>317</v>
      </c>
      <c r="B119" s="66" t="s">
        <v>901</v>
      </c>
      <c r="C119" s="67"/>
      <c r="D119" s="68"/>
      <c r="E119" s="69"/>
      <c r="F119" s="70"/>
      <c r="G119" s="67"/>
      <c r="H119" s="71"/>
      <c r="I119" s="72"/>
      <c r="J119" s="72"/>
      <c r="K119" s="35"/>
      <c r="L119" s="80">
        <v>119</v>
      </c>
      <c r="M119" s="80"/>
      <c r="N119" s="74"/>
      <c r="O119" s="82" t="s">
        <v>909</v>
      </c>
      <c r="P119" s="82" t="s">
        <v>197</v>
      </c>
      <c r="Q119" s="85" t="s">
        <v>1026</v>
      </c>
      <c r="R119" s="82" t="s">
        <v>317</v>
      </c>
      <c r="S119" s="82" t="s">
        <v>1783</v>
      </c>
      <c r="T119" s="87" t="str">
        <f>HYPERLINK("http://www.youtube.com/channel/UCz6lZj32USU3kpRSfU3mmNA")</f>
        <v>http://www.youtube.com/channel/UCz6lZj32USU3kpRSfU3mmNA</v>
      </c>
      <c r="U119" s="82"/>
      <c r="V119" s="82" t="s">
        <v>2368</v>
      </c>
      <c r="W119" s="87" t="str">
        <f t="shared" si="3"/>
        <v>https://www.youtube.com/watch?v=gLvkWpnzba8</v>
      </c>
      <c r="X119" s="82" t="s">
        <v>2384</v>
      </c>
      <c r="Y119" s="82">
        <v>1</v>
      </c>
      <c r="Z119" s="89">
        <v>45264.450057870374</v>
      </c>
      <c r="AA119" s="89">
        <v>45264.450057870374</v>
      </c>
      <c r="AB119" s="82"/>
      <c r="AC119" s="82"/>
      <c r="AD119" s="85" t="s">
        <v>2423</v>
      </c>
      <c r="AE119" s="84" t="str">
        <f>REPLACE(INDEX(GroupVertices[Group],MATCH("~"&amp;Edges[[#This Row],[Vertex 1]],GroupVertices[Vertex],0)),1,1,"")</f>
        <v>6</v>
      </c>
      <c r="AF119" s="84" t="str">
        <f>REPLACE(INDEX(GroupVertices[Group],MATCH("~"&amp;Edges[[#This Row],[Vertex 2]],GroupVertices[Vertex],0)),1,1,"")</f>
        <v>6</v>
      </c>
    </row>
    <row r="120" spans="1:32" ht="15">
      <c r="A120" s="66" t="s">
        <v>318</v>
      </c>
      <c r="B120" s="66" t="s">
        <v>901</v>
      </c>
      <c r="C120" s="67"/>
      <c r="D120" s="68"/>
      <c r="E120" s="69"/>
      <c r="F120" s="70"/>
      <c r="G120" s="67"/>
      <c r="H120" s="71"/>
      <c r="I120" s="72"/>
      <c r="J120" s="72"/>
      <c r="K120" s="35"/>
      <c r="L120" s="80">
        <v>120</v>
      </c>
      <c r="M120" s="80"/>
      <c r="N120" s="74"/>
      <c r="O120" s="82" t="s">
        <v>909</v>
      </c>
      <c r="P120" s="82" t="s">
        <v>197</v>
      </c>
      <c r="Q120" s="85" t="s">
        <v>1027</v>
      </c>
      <c r="R120" s="82" t="s">
        <v>318</v>
      </c>
      <c r="S120" s="82" t="s">
        <v>1784</v>
      </c>
      <c r="T120" s="87" t="str">
        <f>HYPERLINK("http://www.youtube.com/channel/UCGbp_Q09KrQZ_xw6w_CYTOQ")</f>
        <v>http://www.youtube.com/channel/UCGbp_Q09KrQZ_xw6w_CYTOQ</v>
      </c>
      <c r="U120" s="82"/>
      <c r="V120" s="82" t="s">
        <v>2368</v>
      </c>
      <c r="W120" s="87" t="str">
        <f t="shared" si="3"/>
        <v>https://www.youtube.com/watch?v=gLvkWpnzba8</v>
      </c>
      <c r="X120" s="82" t="s">
        <v>2384</v>
      </c>
      <c r="Y120" s="82">
        <v>1</v>
      </c>
      <c r="Z120" s="89">
        <v>45264.89319444444</v>
      </c>
      <c r="AA120" s="89">
        <v>45264.89319444444</v>
      </c>
      <c r="AB120" s="82"/>
      <c r="AC120" s="82"/>
      <c r="AD120" s="85" t="s">
        <v>2423</v>
      </c>
      <c r="AE120" s="84" t="str">
        <f>REPLACE(INDEX(GroupVertices[Group],MATCH("~"&amp;Edges[[#This Row],[Vertex 1]],GroupVertices[Vertex],0)),1,1,"")</f>
        <v>6</v>
      </c>
      <c r="AF120" s="84" t="str">
        <f>REPLACE(INDEX(GroupVertices[Group],MATCH("~"&amp;Edges[[#This Row],[Vertex 2]],GroupVertices[Vertex],0)),1,1,"")</f>
        <v>6</v>
      </c>
    </row>
    <row r="121" spans="1:32" ht="15">
      <c r="A121" s="66" t="s">
        <v>319</v>
      </c>
      <c r="B121" s="66" t="s">
        <v>901</v>
      </c>
      <c r="C121" s="67"/>
      <c r="D121" s="68"/>
      <c r="E121" s="69"/>
      <c r="F121" s="70"/>
      <c r="G121" s="67"/>
      <c r="H121" s="71"/>
      <c r="I121" s="72"/>
      <c r="J121" s="72"/>
      <c r="K121" s="35"/>
      <c r="L121" s="80">
        <v>121</v>
      </c>
      <c r="M121" s="80"/>
      <c r="N121" s="74"/>
      <c r="O121" s="82" t="s">
        <v>909</v>
      </c>
      <c r="P121" s="82" t="s">
        <v>197</v>
      </c>
      <c r="Q121" s="85" t="s">
        <v>1028</v>
      </c>
      <c r="R121" s="82" t="s">
        <v>319</v>
      </c>
      <c r="S121" s="82" t="s">
        <v>1785</v>
      </c>
      <c r="T121" s="87" t="str">
        <f>HYPERLINK("http://www.youtube.com/channel/UCQpNWhsySfEu--0d0iiwKRg")</f>
        <v>http://www.youtube.com/channel/UCQpNWhsySfEu--0d0iiwKRg</v>
      </c>
      <c r="U121" s="82"/>
      <c r="V121" s="82" t="s">
        <v>2368</v>
      </c>
      <c r="W121" s="87" t="str">
        <f t="shared" si="3"/>
        <v>https://www.youtube.com/watch?v=gLvkWpnzba8</v>
      </c>
      <c r="X121" s="82" t="s">
        <v>2384</v>
      </c>
      <c r="Y121" s="82">
        <v>0</v>
      </c>
      <c r="Z121" s="89">
        <v>45265.57635416667</v>
      </c>
      <c r="AA121" s="89">
        <v>45265.57635416667</v>
      </c>
      <c r="AB121" s="82" t="s">
        <v>2392</v>
      </c>
      <c r="AC121" s="82" t="s">
        <v>2413</v>
      </c>
      <c r="AD121" s="85" t="s">
        <v>2423</v>
      </c>
      <c r="AE121" s="84" t="str">
        <f>REPLACE(INDEX(GroupVertices[Group],MATCH("~"&amp;Edges[[#This Row],[Vertex 1]],GroupVertices[Vertex],0)),1,1,"")</f>
        <v>6</v>
      </c>
      <c r="AF121" s="84" t="str">
        <f>REPLACE(INDEX(GroupVertices[Group],MATCH("~"&amp;Edges[[#This Row],[Vertex 2]],GroupVertices[Vertex],0)),1,1,"")</f>
        <v>6</v>
      </c>
    </row>
    <row r="122" spans="1:32" ht="15">
      <c r="A122" s="66" t="s">
        <v>320</v>
      </c>
      <c r="B122" s="66" t="s">
        <v>901</v>
      </c>
      <c r="C122" s="67"/>
      <c r="D122" s="68"/>
      <c r="E122" s="69"/>
      <c r="F122" s="70"/>
      <c r="G122" s="67"/>
      <c r="H122" s="71"/>
      <c r="I122" s="72"/>
      <c r="J122" s="72"/>
      <c r="K122" s="35"/>
      <c r="L122" s="80">
        <v>122</v>
      </c>
      <c r="M122" s="80"/>
      <c r="N122" s="74"/>
      <c r="O122" s="82" t="s">
        <v>909</v>
      </c>
      <c r="P122" s="82" t="s">
        <v>197</v>
      </c>
      <c r="Q122" s="85" t="s">
        <v>1029</v>
      </c>
      <c r="R122" s="82" t="s">
        <v>320</v>
      </c>
      <c r="S122" s="82" t="s">
        <v>1786</v>
      </c>
      <c r="T122" s="87" t="str">
        <f>HYPERLINK("http://www.youtube.com/channel/UCeBIvmS9wNuO_WyPZVKq0oA")</f>
        <v>http://www.youtube.com/channel/UCeBIvmS9wNuO_WyPZVKq0oA</v>
      </c>
      <c r="U122" s="82"/>
      <c r="V122" s="82" t="s">
        <v>2368</v>
      </c>
      <c r="W122" s="87" t="str">
        <f t="shared" si="3"/>
        <v>https://www.youtube.com/watch?v=gLvkWpnzba8</v>
      </c>
      <c r="X122" s="82" t="s">
        <v>2384</v>
      </c>
      <c r="Y122" s="82">
        <v>0</v>
      </c>
      <c r="Z122" s="89">
        <v>45265.736342592594</v>
      </c>
      <c r="AA122" s="89">
        <v>45265.736342592594</v>
      </c>
      <c r="AB122" s="82"/>
      <c r="AC122" s="82"/>
      <c r="AD122" s="85" t="s">
        <v>2423</v>
      </c>
      <c r="AE122" s="84" t="str">
        <f>REPLACE(INDEX(GroupVertices[Group],MATCH("~"&amp;Edges[[#This Row],[Vertex 1]],GroupVertices[Vertex],0)),1,1,"")</f>
        <v>6</v>
      </c>
      <c r="AF122" s="84" t="str">
        <f>REPLACE(INDEX(GroupVertices[Group],MATCH("~"&amp;Edges[[#This Row],[Vertex 2]],GroupVertices[Vertex],0)),1,1,"")</f>
        <v>6</v>
      </c>
    </row>
    <row r="123" spans="1:32" ht="15">
      <c r="A123" s="66" t="s">
        <v>321</v>
      </c>
      <c r="B123" s="66" t="s">
        <v>901</v>
      </c>
      <c r="C123" s="67"/>
      <c r="D123" s="68"/>
      <c r="E123" s="69"/>
      <c r="F123" s="70"/>
      <c r="G123" s="67"/>
      <c r="H123" s="71"/>
      <c r="I123" s="72"/>
      <c r="J123" s="72"/>
      <c r="K123" s="35"/>
      <c r="L123" s="80">
        <v>123</v>
      </c>
      <c r="M123" s="80"/>
      <c r="N123" s="74"/>
      <c r="O123" s="82" t="s">
        <v>909</v>
      </c>
      <c r="P123" s="82" t="s">
        <v>197</v>
      </c>
      <c r="Q123" s="85" t="s">
        <v>1030</v>
      </c>
      <c r="R123" s="82" t="s">
        <v>321</v>
      </c>
      <c r="S123" s="82" t="s">
        <v>1787</v>
      </c>
      <c r="T123" s="87" t="str">
        <f>HYPERLINK("http://www.youtube.com/channel/UCodmlPiSGxi4axCUbFpAIig")</f>
        <v>http://www.youtube.com/channel/UCodmlPiSGxi4axCUbFpAIig</v>
      </c>
      <c r="U123" s="82"/>
      <c r="V123" s="82" t="s">
        <v>2368</v>
      </c>
      <c r="W123" s="87" t="str">
        <f t="shared" si="3"/>
        <v>https://www.youtube.com/watch?v=gLvkWpnzba8</v>
      </c>
      <c r="X123" s="82" t="s">
        <v>2384</v>
      </c>
      <c r="Y123" s="82">
        <v>0</v>
      </c>
      <c r="Z123" s="89">
        <v>45266.50337962963</v>
      </c>
      <c r="AA123" s="89">
        <v>45266.50337962963</v>
      </c>
      <c r="AB123" s="82"/>
      <c r="AC123" s="82"/>
      <c r="AD123" s="85" t="s">
        <v>2423</v>
      </c>
      <c r="AE123" s="84" t="str">
        <f>REPLACE(INDEX(GroupVertices[Group],MATCH("~"&amp;Edges[[#This Row],[Vertex 1]],GroupVertices[Vertex],0)),1,1,"")</f>
        <v>6</v>
      </c>
      <c r="AF123" s="84" t="str">
        <f>REPLACE(INDEX(GroupVertices[Group],MATCH("~"&amp;Edges[[#This Row],[Vertex 2]],GroupVertices[Vertex],0)),1,1,"")</f>
        <v>6</v>
      </c>
    </row>
    <row r="124" spans="1:32" ht="15">
      <c r="A124" s="66" t="s">
        <v>322</v>
      </c>
      <c r="B124" s="66" t="s">
        <v>901</v>
      </c>
      <c r="C124" s="67"/>
      <c r="D124" s="68"/>
      <c r="E124" s="69"/>
      <c r="F124" s="70"/>
      <c r="G124" s="67"/>
      <c r="H124" s="71"/>
      <c r="I124" s="72"/>
      <c r="J124" s="72"/>
      <c r="K124" s="35"/>
      <c r="L124" s="80">
        <v>124</v>
      </c>
      <c r="M124" s="80"/>
      <c r="N124" s="74"/>
      <c r="O124" s="82" t="s">
        <v>909</v>
      </c>
      <c r="P124" s="82" t="s">
        <v>197</v>
      </c>
      <c r="Q124" s="85" t="s">
        <v>1031</v>
      </c>
      <c r="R124" s="82" t="s">
        <v>322</v>
      </c>
      <c r="S124" s="82" t="s">
        <v>1788</v>
      </c>
      <c r="T124" s="87" t="str">
        <f>HYPERLINK("http://www.youtube.com/channel/UC-EUBGkEVHzrESkhR_NpWEQ")</f>
        <v>http://www.youtube.com/channel/UC-EUBGkEVHzrESkhR_NpWEQ</v>
      </c>
      <c r="U124" s="82"/>
      <c r="V124" s="82" t="s">
        <v>2368</v>
      </c>
      <c r="W124" s="87" t="str">
        <f t="shared" si="3"/>
        <v>https://www.youtube.com/watch?v=gLvkWpnzba8</v>
      </c>
      <c r="X124" s="82" t="s">
        <v>2384</v>
      </c>
      <c r="Y124" s="82">
        <v>0</v>
      </c>
      <c r="Z124" s="89">
        <v>45266.62472222222</v>
      </c>
      <c r="AA124" s="89">
        <v>45266.62472222222</v>
      </c>
      <c r="AB124" s="82"/>
      <c r="AC124" s="82"/>
      <c r="AD124" s="85" t="s">
        <v>2423</v>
      </c>
      <c r="AE124" s="84" t="str">
        <f>REPLACE(INDEX(GroupVertices[Group],MATCH("~"&amp;Edges[[#This Row],[Vertex 1]],GroupVertices[Vertex],0)),1,1,"")</f>
        <v>6</v>
      </c>
      <c r="AF124" s="84" t="str">
        <f>REPLACE(INDEX(GroupVertices[Group],MATCH("~"&amp;Edges[[#This Row],[Vertex 2]],GroupVertices[Vertex],0)),1,1,"")</f>
        <v>6</v>
      </c>
    </row>
    <row r="125" spans="1:32" ht="15">
      <c r="A125" s="66" t="s">
        <v>323</v>
      </c>
      <c r="B125" s="66" t="s">
        <v>901</v>
      </c>
      <c r="C125" s="67"/>
      <c r="D125" s="68"/>
      <c r="E125" s="69"/>
      <c r="F125" s="70"/>
      <c r="G125" s="67"/>
      <c r="H125" s="71"/>
      <c r="I125" s="72"/>
      <c r="J125" s="72"/>
      <c r="K125" s="35"/>
      <c r="L125" s="80">
        <v>125</v>
      </c>
      <c r="M125" s="80"/>
      <c r="N125" s="74"/>
      <c r="O125" s="82" t="s">
        <v>909</v>
      </c>
      <c r="P125" s="82" t="s">
        <v>197</v>
      </c>
      <c r="Q125" s="85" t="s">
        <v>1032</v>
      </c>
      <c r="R125" s="82" t="s">
        <v>323</v>
      </c>
      <c r="S125" s="82" t="s">
        <v>1789</v>
      </c>
      <c r="T125" s="87" t="str">
        <f>HYPERLINK("http://www.youtube.com/channel/UC7E3gjLovfA9YqhdhC2HVEw")</f>
        <v>http://www.youtube.com/channel/UC7E3gjLovfA9YqhdhC2HVEw</v>
      </c>
      <c r="U125" s="82"/>
      <c r="V125" s="82" t="s">
        <v>2368</v>
      </c>
      <c r="W125" s="87" t="str">
        <f t="shared" si="3"/>
        <v>https://www.youtube.com/watch?v=gLvkWpnzba8</v>
      </c>
      <c r="X125" s="82" t="s">
        <v>2384</v>
      </c>
      <c r="Y125" s="82">
        <v>0</v>
      </c>
      <c r="Z125" s="89">
        <v>45266.82670138889</v>
      </c>
      <c r="AA125" s="89">
        <v>45266.82670138889</v>
      </c>
      <c r="AB125" s="82"/>
      <c r="AC125" s="82"/>
      <c r="AD125" s="85" t="s">
        <v>2423</v>
      </c>
      <c r="AE125" s="84" t="str">
        <f>REPLACE(INDEX(GroupVertices[Group],MATCH("~"&amp;Edges[[#This Row],[Vertex 1]],GroupVertices[Vertex],0)),1,1,"")</f>
        <v>6</v>
      </c>
      <c r="AF125" s="84" t="str">
        <f>REPLACE(INDEX(GroupVertices[Group],MATCH("~"&amp;Edges[[#This Row],[Vertex 2]],GroupVertices[Vertex],0)),1,1,"")</f>
        <v>6</v>
      </c>
    </row>
    <row r="126" spans="1:32" ht="15">
      <c r="A126" s="66" t="s">
        <v>324</v>
      </c>
      <c r="B126" s="66" t="s">
        <v>901</v>
      </c>
      <c r="C126" s="67"/>
      <c r="D126" s="68"/>
      <c r="E126" s="69"/>
      <c r="F126" s="70"/>
      <c r="G126" s="67"/>
      <c r="H126" s="71"/>
      <c r="I126" s="72"/>
      <c r="J126" s="72"/>
      <c r="K126" s="35"/>
      <c r="L126" s="80">
        <v>126</v>
      </c>
      <c r="M126" s="80"/>
      <c r="N126" s="74"/>
      <c r="O126" s="82" t="s">
        <v>909</v>
      </c>
      <c r="P126" s="82" t="s">
        <v>197</v>
      </c>
      <c r="Q126" s="85" t="s">
        <v>1033</v>
      </c>
      <c r="R126" s="82" t="s">
        <v>324</v>
      </c>
      <c r="S126" s="82" t="s">
        <v>1790</v>
      </c>
      <c r="T126" s="87" t="str">
        <f>HYPERLINK("http://www.youtube.com/channel/UCzW_fW32ONrKVidGIjVVmng")</f>
        <v>http://www.youtube.com/channel/UCzW_fW32ONrKVidGIjVVmng</v>
      </c>
      <c r="U126" s="82"/>
      <c r="V126" s="82" t="s">
        <v>2368</v>
      </c>
      <c r="W126" s="87" t="str">
        <f t="shared" si="3"/>
        <v>https://www.youtube.com/watch?v=gLvkWpnzba8</v>
      </c>
      <c r="X126" s="82" t="s">
        <v>2384</v>
      </c>
      <c r="Y126" s="82">
        <v>0</v>
      </c>
      <c r="Z126" s="89">
        <v>45266.94709490741</v>
      </c>
      <c r="AA126" s="89">
        <v>45266.94709490741</v>
      </c>
      <c r="AB126" s="82"/>
      <c r="AC126" s="82"/>
      <c r="AD126" s="85" t="s">
        <v>2423</v>
      </c>
      <c r="AE126" s="84" t="str">
        <f>REPLACE(INDEX(GroupVertices[Group],MATCH("~"&amp;Edges[[#This Row],[Vertex 1]],GroupVertices[Vertex],0)),1,1,"")</f>
        <v>6</v>
      </c>
      <c r="AF126" s="84" t="str">
        <f>REPLACE(INDEX(GroupVertices[Group],MATCH("~"&amp;Edges[[#This Row],[Vertex 2]],GroupVertices[Vertex],0)),1,1,"")</f>
        <v>6</v>
      </c>
    </row>
    <row r="127" spans="1:32" ht="15">
      <c r="A127" s="66" t="s">
        <v>325</v>
      </c>
      <c r="B127" s="66" t="s">
        <v>901</v>
      </c>
      <c r="C127" s="67"/>
      <c r="D127" s="68"/>
      <c r="E127" s="69"/>
      <c r="F127" s="70"/>
      <c r="G127" s="67"/>
      <c r="H127" s="71"/>
      <c r="I127" s="72"/>
      <c r="J127" s="72"/>
      <c r="K127" s="35"/>
      <c r="L127" s="80">
        <v>127</v>
      </c>
      <c r="M127" s="80"/>
      <c r="N127" s="74"/>
      <c r="O127" s="82" t="s">
        <v>909</v>
      </c>
      <c r="P127" s="82" t="s">
        <v>197</v>
      </c>
      <c r="Q127" s="85" t="s">
        <v>1034</v>
      </c>
      <c r="R127" s="82" t="s">
        <v>325</v>
      </c>
      <c r="S127" s="82" t="s">
        <v>1791</v>
      </c>
      <c r="T127" s="87" t="str">
        <f>HYPERLINK("http://www.youtube.com/channel/UCjBx3LFsEGpCL5eHG55yTjg")</f>
        <v>http://www.youtube.com/channel/UCjBx3LFsEGpCL5eHG55yTjg</v>
      </c>
      <c r="U127" s="82"/>
      <c r="V127" s="82" t="s">
        <v>2368</v>
      </c>
      <c r="W127" s="87" t="str">
        <f t="shared" si="3"/>
        <v>https://www.youtube.com/watch?v=gLvkWpnzba8</v>
      </c>
      <c r="X127" s="82" t="s">
        <v>2384</v>
      </c>
      <c r="Y127" s="82">
        <v>0</v>
      </c>
      <c r="Z127" s="89">
        <v>45267.08070601852</v>
      </c>
      <c r="AA127" s="89">
        <v>45267.08070601852</v>
      </c>
      <c r="AB127" s="82"/>
      <c r="AC127" s="82"/>
      <c r="AD127" s="85" t="s">
        <v>2423</v>
      </c>
      <c r="AE127" s="84" t="str">
        <f>REPLACE(INDEX(GroupVertices[Group],MATCH("~"&amp;Edges[[#This Row],[Vertex 1]],GroupVertices[Vertex],0)),1,1,"")</f>
        <v>6</v>
      </c>
      <c r="AF127" s="84" t="str">
        <f>REPLACE(INDEX(GroupVertices[Group],MATCH("~"&amp;Edges[[#This Row],[Vertex 2]],GroupVertices[Vertex],0)),1,1,"")</f>
        <v>6</v>
      </c>
    </row>
    <row r="128" spans="1:32" ht="15">
      <c r="A128" s="66" t="s">
        <v>326</v>
      </c>
      <c r="B128" s="66" t="s">
        <v>901</v>
      </c>
      <c r="C128" s="67"/>
      <c r="D128" s="68"/>
      <c r="E128" s="69"/>
      <c r="F128" s="70"/>
      <c r="G128" s="67"/>
      <c r="H128" s="71"/>
      <c r="I128" s="72"/>
      <c r="J128" s="72"/>
      <c r="K128" s="35"/>
      <c r="L128" s="80">
        <v>128</v>
      </c>
      <c r="M128" s="80"/>
      <c r="N128" s="74"/>
      <c r="O128" s="82" t="s">
        <v>909</v>
      </c>
      <c r="P128" s="82" t="s">
        <v>197</v>
      </c>
      <c r="Q128" s="85" t="s">
        <v>1035</v>
      </c>
      <c r="R128" s="82" t="s">
        <v>326</v>
      </c>
      <c r="S128" s="82" t="s">
        <v>1792</v>
      </c>
      <c r="T128" s="87" t="str">
        <f>HYPERLINK("http://www.youtube.com/channel/UCSq8cxz-cAvMl0L56l6ocig")</f>
        <v>http://www.youtube.com/channel/UCSq8cxz-cAvMl0L56l6ocig</v>
      </c>
      <c r="U128" s="82"/>
      <c r="V128" s="82" t="s">
        <v>2368</v>
      </c>
      <c r="W128" s="87" t="str">
        <f t="shared" si="3"/>
        <v>https://www.youtube.com/watch?v=gLvkWpnzba8</v>
      </c>
      <c r="X128" s="82" t="s">
        <v>2384</v>
      </c>
      <c r="Y128" s="82">
        <v>0</v>
      </c>
      <c r="Z128" s="89">
        <v>45267.24252314815</v>
      </c>
      <c r="AA128" s="89">
        <v>45267.24252314815</v>
      </c>
      <c r="AB128" s="82"/>
      <c r="AC128" s="82"/>
      <c r="AD128" s="85" t="s">
        <v>2423</v>
      </c>
      <c r="AE128" s="84" t="str">
        <f>REPLACE(INDEX(GroupVertices[Group],MATCH("~"&amp;Edges[[#This Row],[Vertex 1]],GroupVertices[Vertex],0)),1,1,"")</f>
        <v>6</v>
      </c>
      <c r="AF128" s="84" t="str">
        <f>REPLACE(INDEX(GroupVertices[Group],MATCH("~"&amp;Edges[[#This Row],[Vertex 2]],GroupVertices[Vertex],0)),1,1,"")</f>
        <v>6</v>
      </c>
    </row>
    <row r="129" spans="1:32" ht="15">
      <c r="A129" s="66" t="s">
        <v>326</v>
      </c>
      <c r="B129" s="66" t="s">
        <v>901</v>
      </c>
      <c r="C129" s="67"/>
      <c r="D129" s="68"/>
      <c r="E129" s="69"/>
      <c r="F129" s="70"/>
      <c r="G129" s="67"/>
      <c r="H129" s="71"/>
      <c r="I129" s="72"/>
      <c r="J129" s="72"/>
      <c r="K129" s="35"/>
      <c r="L129" s="80">
        <v>129</v>
      </c>
      <c r="M129" s="80"/>
      <c r="N129" s="74"/>
      <c r="O129" s="82" t="s">
        <v>909</v>
      </c>
      <c r="P129" s="82" t="s">
        <v>197</v>
      </c>
      <c r="Q129" s="85" t="s">
        <v>1036</v>
      </c>
      <c r="R129" s="82" t="s">
        <v>326</v>
      </c>
      <c r="S129" s="82" t="s">
        <v>1792</v>
      </c>
      <c r="T129" s="87" t="str">
        <f>HYPERLINK("http://www.youtube.com/channel/UCSq8cxz-cAvMl0L56l6ocig")</f>
        <v>http://www.youtube.com/channel/UCSq8cxz-cAvMl0L56l6ocig</v>
      </c>
      <c r="U129" s="82"/>
      <c r="V129" s="82" t="s">
        <v>2368</v>
      </c>
      <c r="W129" s="87" t="str">
        <f aca="true" t="shared" si="4" ref="W129:W154">HYPERLINK("https://www.youtube.com/watch?v=gLvkWpnzba8")</f>
        <v>https://www.youtube.com/watch?v=gLvkWpnzba8</v>
      </c>
      <c r="X129" s="82" t="s">
        <v>2384</v>
      </c>
      <c r="Y129" s="82">
        <v>0</v>
      </c>
      <c r="Z129" s="89">
        <v>45267.243726851855</v>
      </c>
      <c r="AA129" s="89">
        <v>45267.24626157407</v>
      </c>
      <c r="AB129" s="82"/>
      <c r="AC129" s="82"/>
      <c r="AD129" s="85" t="s">
        <v>2423</v>
      </c>
      <c r="AE129" s="84" t="str">
        <f>REPLACE(INDEX(GroupVertices[Group],MATCH("~"&amp;Edges[[#This Row],[Vertex 1]],GroupVertices[Vertex],0)),1,1,"")</f>
        <v>6</v>
      </c>
      <c r="AF129" s="84" t="str">
        <f>REPLACE(INDEX(GroupVertices[Group],MATCH("~"&amp;Edges[[#This Row],[Vertex 2]],GroupVertices[Vertex],0)),1,1,"")</f>
        <v>6</v>
      </c>
    </row>
    <row r="130" spans="1:32" ht="15">
      <c r="A130" s="66" t="s">
        <v>327</v>
      </c>
      <c r="B130" s="66" t="s">
        <v>901</v>
      </c>
      <c r="C130" s="67"/>
      <c r="D130" s="68"/>
      <c r="E130" s="69"/>
      <c r="F130" s="70"/>
      <c r="G130" s="67"/>
      <c r="H130" s="71"/>
      <c r="I130" s="72"/>
      <c r="J130" s="72"/>
      <c r="K130" s="35"/>
      <c r="L130" s="80">
        <v>130</v>
      </c>
      <c r="M130" s="80"/>
      <c r="N130" s="74"/>
      <c r="O130" s="82" t="s">
        <v>909</v>
      </c>
      <c r="P130" s="82" t="s">
        <v>197</v>
      </c>
      <c r="Q130" s="85" t="s">
        <v>1037</v>
      </c>
      <c r="R130" s="82" t="s">
        <v>327</v>
      </c>
      <c r="S130" s="82" t="s">
        <v>1793</v>
      </c>
      <c r="T130" s="87" t="str">
        <f>HYPERLINK("http://www.youtube.com/channel/UCdDflivSl5HyNIB0JgvnTvA")</f>
        <v>http://www.youtube.com/channel/UCdDflivSl5HyNIB0JgvnTvA</v>
      </c>
      <c r="U130" s="82"/>
      <c r="V130" s="82" t="s">
        <v>2368</v>
      </c>
      <c r="W130" s="87" t="str">
        <f t="shared" si="4"/>
        <v>https://www.youtube.com/watch?v=gLvkWpnzba8</v>
      </c>
      <c r="X130" s="82" t="s">
        <v>2384</v>
      </c>
      <c r="Y130" s="82">
        <v>0</v>
      </c>
      <c r="Z130" s="89">
        <v>45267.37582175926</v>
      </c>
      <c r="AA130" s="89">
        <v>45267.37582175926</v>
      </c>
      <c r="AB130" s="82"/>
      <c r="AC130" s="82"/>
      <c r="AD130" s="85" t="s">
        <v>2423</v>
      </c>
      <c r="AE130" s="84" t="str">
        <f>REPLACE(INDEX(GroupVertices[Group],MATCH("~"&amp;Edges[[#This Row],[Vertex 1]],GroupVertices[Vertex],0)),1,1,"")</f>
        <v>6</v>
      </c>
      <c r="AF130" s="84" t="str">
        <f>REPLACE(INDEX(GroupVertices[Group],MATCH("~"&amp;Edges[[#This Row],[Vertex 2]],GroupVertices[Vertex],0)),1,1,"")</f>
        <v>6</v>
      </c>
    </row>
    <row r="131" spans="1:32" ht="15">
      <c r="A131" s="66" t="s">
        <v>328</v>
      </c>
      <c r="B131" s="66" t="s">
        <v>901</v>
      </c>
      <c r="C131" s="67"/>
      <c r="D131" s="68"/>
      <c r="E131" s="69"/>
      <c r="F131" s="70"/>
      <c r="G131" s="67"/>
      <c r="H131" s="71"/>
      <c r="I131" s="72"/>
      <c r="J131" s="72"/>
      <c r="K131" s="35"/>
      <c r="L131" s="80">
        <v>131</v>
      </c>
      <c r="M131" s="80"/>
      <c r="N131" s="74"/>
      <c r="O131" s="82" t="s">
        <v>909</v>
      </c>
      <c r="P131" s="82" t="s">
        <v>197</v>
      </c>
      <c r="Q131" s="85" t="s">
        <v>1038</v>
      </c>
      <c r="R131" s="82" t="s">
        <v>328</v>
      </c>
      <c r="S131" s="82" t="s">
        <v>1794</v>
      </c>
      <c r="T131" s="87" t="str">
        <f>HYPERLINK("http://www.youtube.com/channel/UCVV444BRcuK7ffYzVmsfHmw")</f>
        <v>http://www.youtube.com/channel/UCVV444BRcuK7ffYzVmsfHmw</v>
      </c>
      <c r="U131" s="82"/>
      <c r="V131" s="82" t="s">
        <v>2368</v>
      </c>
      <c r="W131" s="87" t="str">
        <f t="shared" si="4"/>
        <v>https://www.youtube.com/watch?v=gLvkWpnzba8</v>
      </c>
      <c r="X131" s="82" t="s">
        <v>2384</v>
      </c>
      <c r="Y131" s="82">
        <v>0</v>
      </c>
      <c r="Z131" s="89">
        <v>45267.81538194444</v>
      </c>
      <c r="AA131" s="89">
        <v>45267.820914351854</v>
      </c>
      <c r="AB131" s="82"/>
      <c r="AC131" s="82"/>
      <c r="AD131" s="85" t="s">
        <v>2423</v>
      </c>
      <c r="AE131" s="84" t="str">
        <f>REPLACE(INDEX(GroupVertices[Group],MATCH("~"&amp;Edges[[#This Row],[Vertex 1]],GroupVertices[Vertex],0)),1,1,"")</f>
        <v>6</v>
      </c>
      <c r="AF131" s="84" t="str">
        <f>REPLACE(INDEX(GroupVertices[Group],MATCH("~"&amp;Edges[[#This Row],[Vertex 2]],GroupVertices[Vertex],0)),1,1,"")</f>
        <v>6</v>
      </c>
    </row>
    <row r="132" spans="1:32" ht="15">
      <c r="A132" s="66" t="s">
        <v>329</v>
      </c>
      <c r="B132" s="66" t="s">
        <v>901</v>
      </c>
      <c r="C132" s="67"/>
      <c r="D132" s="68"/>
      <c r="E132" s="69"/>
      <c r="F132" s="70"/>
      <c r="G132" s="67"/>
      <c r="H132" s="71"/>
      <c r="I132" s="72"/>
      <c r="J132" s="72"/>
      <c r="K132" s="35"/>
      <c r="L132" s="80">
        <v>132</v>
      </c>
      <c r="M132" s="80"/>
      <c r="N132" s="74"/>
      <c r="O132" s="82" t="s">
        <v>909</v>
      </c>
      <c r="P132" s="82" t="s">
        <v>197</v>
      </c>
      <c r="Q132" s="85" t="s">
        <v>1039</v>
      </c>
      <c r="R132" s="82" t="s">
        <v>329</v>
      </c>
      <c r="S132" s="82" t="s">
        <v>1795</v>
      </c>
      <c r="T132" s="87" t="str">
        <f>HYPERLINK("http://www.youtube.com/channel/UC-oFOuA748PDXw0Mqg2jjew")</f>
        <v>http://www.youtube.com/channel/UC-oFOuA748PDXw0Mqg2jjew</v>
      </c>
      <c r="U132" s="82"/>
      <c r="V132" s="82" t="s">
        <v>2368</v>
      </c>
      <c r="W132" s="87" t="str">
        <f t="shared" si="4"/>
        <v>https://www.youtube.com/watch?v=gLvkWpnzba8</v>
      </c>
      <c r="X132" s="82" t="s">
        <v>2384</v>
      </c>
      <c r="Y132" s="82">
        <v>2</v>
      </c>
      <c r="Z132" s="89">
        <v>45268.38725694444</v>
      </c>
      <c r="AA132" s="89">
        <v>45268.38725694444</v>
      </c>
      <c r="AB132" s="82"/>
      <c r="AC132" s="82"/>
      <c r="AD132" s="85" t="s">
        <v>2423</v>
      </c>
      <c r="AE132" s="84" t="str">
        <f>REPLACE(INDEX(GroupVertices[Group],MATCH("~"&amp;Edges[[#This Row],[Vertex 1]],GroupVertices[Vertex],0)),1,1,"")</f>
        <v>6</v>
      </c>
      <c r="AF132" s="84" t="str">
        <f>REPLACE(INDEX(GroupVertices[Group],MATCH("~"&amp;Edges[[#This Row],[Vertex 2]],GroupVertices[Vertex],0)),1,1,"")</f>
        <v>6</v>
      </c>
    </row>
    <row r="133" spans="1:32" ht="15">
      <c r="A133" s="66" t="s">
        <v>330</v>
      </c>
      <c r="B133" s="66" t="s">
        <v>901</v>
      </c>
      <c r="C133" s="67"/>
      <c r="D133" s="68"/>
      <c r="E133" s="69"/>
      <c r="F133" s="70"/>
      <c r="G133" s="67"/>
      <c r="H133" s="71"/>
      <c r="I133" s="72"/>
      <c r="J133" s="72"/>
      <c r="K133" s="35"/>
      <c r="L133" s="80">
        <v>133</v>
      </c>
      <c r="M133" s="80"/>
      <c r="N133" s="74"/>
      <c r="O133" s="82" t="s">
        <v>909</v>
      </c>
      <c r="P133" s="82" t="s">
        <v>197</v>
      </c>
      <c r="Q133" s="85" t="s">
        <v>1040</v>
      </c>
      <c r="R133" s="82" t="s">
        <v>330</v>
      </c>
      <c r="S133" s="82" t="s">
        <v>1796</v>
      </c>
      <c r="T133" s="87" t="str">
        <f>HYPERLINK("http://www.youtube.com/channel/UCJoAyMn5w628ZOLOBFagmjQ")</f>
        <v>http://www.youtube.com/channel/UCJoAyMn5w628ZOLOBFagmjQ</v>
      </c>
      <c r="U133" s="82"/>
      <c r="V133" s="82" t="s">
        <v>2368</v>
      </c>
      <c r="W133" s="87" t="str">
        <f t="shared" si="4"/>
        <v>https://www.youtube.com/watch?v=gLvkWpnzba8</v>
      </c>
      <c r="X133" s="82" t="s">
        <v>2384</v>
      </c>
      <c r="Y133" s="82">
        <v>0</v>
      </c>
      <c r="Z133" s="89">
        <v>45268.97445601852</v>
      </c>
      <c r="AA133" s="89">
        <v>45268.97445601852</v>
      </c>
      <c r="AB133" s="82"/>
      <c r="AC133" s="82"/>
      <c r="AD133" s="85" t="s">
        <v>2423</v>
      </c>
      <c r="AE133" s="84" t="str">
        <f>REPLACE(INDEX(GroupVertices[Group],MATCH("~"&amp;Edges[[#This Row],[Vertex 1]],GroupVertices[Vertex],0)),1,1,"")</f>
        <v>6</v>
      </c>
      <c r="AF133" s="84" t="str">
        <f>REPLACE(INDEX(GroupVertices[Group],MATCH("~"&amp;Edges[[#This Row],[Vertex 2]],GroupVertices[Vertex],0)),1,1,"")</f>
        <v>6</v>
      </c>
    </row>
    <row r="134" spans="1:32" ht="15">
      <c r="A134" s="66" t="s">
        <v>331</v>
      </c>
      <c r="B134" s="66" t="s">
        <v>901</v>
      </c>
      <c r="C134" s="67"/>
      <c r="D134" s="68"/>
      <c r="E134" s="69"/>
      <c r="F134" s="70"/>
      <c r="G134" s="67"/>
      <c r="H134" s="71"/>
      <c r="I134" s="72"/>
      <c r="J134" s="72"/>
      <c r="K134" s="35"/>
      <c r="L134" s="80">
        <v>134</v>
      </c>
      <c r="M134" s="80"/>
      <c r="N134" s="74"/>
      <c r="O134" s="82" t="s">
        <v>909</v>
      </c>
      <c r="P134" s="82" t="s">
        <v>197</v>
      </c>
      <c r="Q134" s="85" t="s">
        <v>1041</v>
      </c>
      <c r="R134" s="82" t="s">
        <v>331</v>
      </c>
      <c r="S134" s="82" t="s">
        <v>1797</v>
      </c>
      <c r="T134" s="87" t="str">
        <f>HYPERLINK("http://www.youtube.com/channel/UC1U4q9cUYOG_IpMRdLgdNMw")</f>
        <v>http://www.youtube.com/channel/UC1U4q9cUYOG_IpMRdLgdNMw</v>
      </c>
      <c r="U134" s="82"/>
      <c r="V134" s="82" t="s">
        <v>2368</v>
      </c>
      <c r="W134" s="87" t="str">
        <f t="shared" si="4"/>
        <v>https://www.youtube.com/watch?v=gLvkWpnzba8</v>
      </c>
      <c r="X134" s="82" t="s">
        <v>2384</v>
      </c>
      <c r="Y134" s="82">
        <v>0</v>
      </c>
      <c r="Z134" s="89">
        <v>45269.5865162037</v>
      </c>
      <c r="AA134" s="89">
        <v>45269.5865162037</v>
      </c>
      <c r="AB134" s="82"/>
      <c r="AC134" s="82"/>
      <c r="AD134" s="85" t="s">
        <v>2423</v>
      </c>
      <c r="AE134" s="84" t="str">
        <f>REPLACE(INDEX(GroupVertices[Group],MATCH("~"&amp;Edges[[#This Row],[Vertex 1]],GroupVertices[Vertex],0)),1,1,"")</f>
        <v>6</v>
      </c>
      <c r="AF134" s="84" t="str">
        <f>REPLACE(INDEX(GroupVertices[Group],MATCH("~"&amp;Edges[[#This Row],[Vertex 2]],GroupVertices[Vertex],0)),1,1,"")</f>
        <v>6</v>
      </c>
    </row>
    <row r="135" spans="1:32" ht="15">
      <c r="A135" s="66" t="s">
        <v>332</v>
      </c>
      <c r="B135" s="66" t="s">
        <v>901</v>
      </c>
      <c r="C135" s="67"/>
      <c r="D135" s="68"/>
      <c r="E135" s="69"/>
      <c r="F135" s="70"/>
      <c r="G135" s="67"/>
      <c r="H135" s="71"/>
      <c r="I135" s="72"/>
      <c r="J135" s="72"/>
      <c r="K135" s="35"/>
      <c r="L135" s="80">
        <v>135</v>
      </c>
      <c r="M135" s="80"/>
      <c r="N135" s="74"/>
      <c r="O135" s="82" t="s">
        <v>909</v>
      </c>
      <c r="P135" s="82" t="s">
        <v>197</v>
      </c>
      <c r="Q135" s="85" t="s">
        <v>1042</v>
      </c>
      <c r="R135" s="82" t="s">
        <v>332</v>
      </c>
      <c r="S135" s="82" t="s">
        <v>1798</v>
      </c>
      <c r="T135" s="87" t="str">
        <f>HYPERLINK("http://www.youtube.com/channel/UCUunGjDqU4X6FKTIzD_cnYw")</f>
        <v>http://www.youtube.com/channel/UCUunGjDqU4X6FKTIzD_cnYw</v>
      </c>
      <c r="U135" s="82"/>
      <c r="V135" s="82" t="s">
        <v>2368</v>
      </c>
      <c r="W135" s="87" t="str">
        <f t="shared" si="4"/>
        <v>https://www.youtube.com/watch?v=gLvkWpnzba8</v>
      </c>
      <c r="X135" s="82" t="s">
        <v>2384</v>
      </c>
      <c r="Y135" s="82">
        <v>0</v>
      </c>
      <c r="Z135" s="89">
        <v>45269.79331018519</v>
      </c>
      <c r="AA135" s="89">
        <v>45269.79331018519</v>
      </c>
      <c r="AB135" s="82"/>
      <c r="AC135" s="82"/>
      <c r="AD135" s="85" t="s">
        <v>2423</v>
      </c>
      <c r="AE135" s="84" t="str">
        <f>REPLACE(INDEX(GroupVertices[Group],MATCH("~"&amp;Edges[[#This Row],[Vertex 1]],GroupVertices[Vertex],0)),1,1,"")</f>
        <v>6</v>
      </c>
      <c r="AF135" s="84" t="str">
        <f>REPLACE(INDEX(GroupVertices[Group],MATCH("~"&amp;Edges[[#This Row],[Vertex 2]],GroupVertices[Vertex],0)),1,1,"")</f>
        <v>6</v>
      </c>
    </row>
    <row r="136" spans="1:32" ht="15">
      <c r="A136" s="66" t="s">
        <v>333</v>
      </c>
      <c r="B136" s="66" t="s">
        <v>901</v>
      </c>
      <c r="C136" s="67"/>
      <c r="D136" s="68"/>
      <c r="E136" s="69"/>
      <c r="F136" s="70"/>
      <c r="G136" s="67"/>
      <c r="H136" s="71"/>
      <c r="I136" s="72"/>
      <c r="J136" s="72"/>
      <c r="K136" s="35"/>
      <c r="L136" s="80">
        <v>136</v>
      </c>
      <c r="M136" s="80"/>
      <c r="N136" s="74"/>
      <c r="O136" s="82" t="s">
        <v>909</v>
      </c>
      <c r="P136" s="82" t="s">
        <v>197</v>
      </c>
      <c r="Q136" s="85" t="s">
        <v>1043</v>
      </c>
      <c r="R136" s="82" t="s">
        <v>333</v>
      </c>
      <c r="S136" s="82" t="s">
        <v>1799</v>
      </c>
      <c r="T136" s="87" t="str">
        <f>HYPERLINK("http://www.youtube.com/channel/UC1fCwbug2b7e_bDtcs_ESbA")</f>
        <v>http://www.youtube.com/channel/UC1fCwbug2b7e_bDtcs_ESbA</v>
      </c>
      <c r="U136" s="82"/>
      <c r="V136" s="82" t="s">
        <v>2368</v>
      </c>
      <c r="W136" s="87" t="str">
        <f t="shared" si="4"/>
        <v>https://www.youtube.com/watch?v=gLvkWpnzba8</v>
      </c>
      <c r="X136" s="82" t="s">
        <v>2384</v>
      </c>
      <c r="Y136" s="82">
        <v>1</v>
      </c>
      <c r="Z136" s="89">
        <v>45270.64365740741</v>
      </c>
      <c r="AA136" s="89">
        <v>45270.64365740741</v>
      </c>
      <c r="AB136" s="82"/>
      <c r="AC136" s="82"/>
      <c r="AD136" s="85" t="s">
        <v>2423</v>
      </c>
      <c r="AE136" s="84" t="str">
        <f>REPLACE(INDEX(GroupVertices[Group],MATCH("~"&amp;Edges[[#This Row],[Vertex 1]],GroupVertices[Vertex],0)),1,1,"")</f>
        <v>6</v>
      </c>
      <c r="AF136" s="84" t="str">
        <f>REPLACE(INDEX(GroupVertices[Group],MATCH("~"&amp;Edges[[#This Row],[Vertex 2]],GroupVertices[Vertex],0)),1,1,"")</f>
        <v>6</v>
      </c>
    </row>
    <row r="137" spans="1:32" ht="15">
      <c r="A137" s="66" t="s">
        <v>334</v>
      </c>
      <c r="B137" s="66" t="s">
        <v>901</v>
      </c>
      <c r="C137" s="67"/>
      <c r="D137" s="68"/>
      <c r="E137" s="69"/>
      <c r="F137" s="70"/>
      <c r="G137" s="67"/>
      <c r="H137" s="71"/>
      <c r="I137" s="72"/>
      <c r="J137" s="72"/>
      <c r="K137" s="35"/>
      <c r="L137" s="80">
        <v>137</v>
      </c>
      <c r="M137" s="80"/>
      <c r="N137" s="74"/>
      <c r="O137" s="82" t="s">
        <v>909</v>
      </c>
      <c r="P137" s="82" t="s">
        <v>197</v>
      </c>
      <c r="Q137" s="85" t="s">
        <v>1044</v>
      </c>
      <c r="R137" s="82" t="s">
        <v>334</v>
      </c>
      <c r="S137" s="82" t="s">
        <v>1800</v>
      </c>
      <c r="T137" s="87" t="str">
        <f>HYPERLINK("http://www.youtube.com/channel/UCki8Y_pL7as_Z-EBieo2kGw")</f>
        <v>http://www.youtube.com/channel/UCki8Y_pL7as_Z-EBieo2kGw</v>
      </c>
      <c r="U137" s="82"/>
      <c r="V137" s="82" t="s">
        <v>2368</v>
      </c>
      <c r="W137" s="87" t="str">
        <f t="shared" si="4"/>
        <v>https://www.youtube.com/watch?v=gLvkWpnzba8</v>
      </c>
      <c r="X137" s="82" t="s">
        <v>2384</v>
      </c>
      <c r="Y137" s="82">
        <v>1</v>
      </c>
      <c r="Z137" s="89">
        <v>45270.975636574076</v>
      </c>
      <c r="AA137" s="89">
        <v>45270.975636574076</v>
      </c>
      <c r="AB137" s="82"/>
      <c r="AC137" s="82"/>
      <c r="AD137" s="85" t="s">
        <v>2423</v>
      </c>
      <c r="AE137" s="84" t="str">
        <f>REPLACE(INDEX(GroupVertices[Group],MATCH("~"&amp;Edges[[#This Row],[Vertex 1]],GroupVertices[Vertex],0)),1,1,"")</f>
        <v>6</v>
      </c>
      <c r="AF137" s="84" t="str">
        <f>REPLACE(INDEX(GroupVertices[Group],MATCH("~"&amp;Edges[[#This Row],[Vertex 2]],GroupVertices[Vertex],0)),1,1,"")</f>
        <v>6</v>
      </c>
    </row>
    <row r="138" spans="1:32" ht="15">
      <c r="A138" s="66" t="s">
        <v>335</v>
      </c>
      <c r="B138" s="66" t="s">
        <v>901</v>
      </c>
      <c r="C138" s="67"/>
      <c r="D138" s="68"/>
      <c r="E138" s="69"/>
      <c r="F138" s="70"/>
      <c r="G138" s="67"/>
      <c r="H138" s="71"/>
      <c r="I138" s="72"/>
      <c r="J138" s="72"/>
      <c r="K138" s="35"/>
      <c r="L138" s="80">
        <v>138</v>
      </c>
      <c r="M138" s="80"/>
      <c r="N138" s="74"/>
      <c r="O138" s="82" t="s">
        <v>909</v>
      </c>
      <c r="P138" s="82" t="s">
        <v>197</v>
      </c>
      <c r="Q138" s="85" t="s">
        <v>1045</v>
      </c>
      <c r="R138" s="82" t="s">
        <v>335</v>
      </c>
      <c r="S138" s="82" t="s">
        <v>1801</v>
      </c>
      <c r="T138" s="87" t="str">
        <f>HYPERLINK("http://www.youtube.com/channel/UC57FgItCByLILEBHBTIqC2g")</f>
        <v>http://www.youtube.com/channel/UC57FgItCByLILEBHBTIqC2g</v>
      </c>
      <c r="U138" s="82"/>
      <c r="V138" s="82" t="s">
        <v>2368</v>
      </c>
      <c r="W138" s="87" t="str">
        <f t="shared" si="4"/>
        <v>https://www.youtube.com/watch?v=gLvkWpnzba8</v>
      </c>
      <c r="X138" s="82" t="s">
        <v>2384</v>
      </c>
      <c r="Y138" s="82">
        <v>0</v>
      </c>
      <c r="Z138" s="89">
        <v>45271.65195601852</v>
      </c>
      <c r="AA138" s="89">
        <v>45271.65195601852</v>
      </c>
      <c r="AB138" s="82"/>
      <c r="AC138" s="82"/>
      <c r="AD138" s="85" t="s">
        <v>2423</v>
      </c>
      <c r="AE138" s="84" t="str">
        <f>REPLACE(INDEX(GroupVertices[Group],MATCH("~"&amp;Edges[[#This Row],[Vertex 1]],GroupVertices[Vertex],0)),1,1,"")</f>
        <v>6</v>
      </c>
      <c r="AF138" s="84" t="str">
        <f>REPLACE(INDEX(GroupVertices[Group],MATCH("~"&amp;Edges[[#This Row],[Vertex 2]],GroupVertices[Vertex],0)),1,1,"")</f>
        <v>6</v>
      </c>
    </row>
    <row r="139" spans="1:32" ht="15">
      <c r="A139" s="66" t="s">
        <v>336</v>
      </c>
      <c r="B139" s="66" t="s">
        <v>901</v>
      </c>
      <c r="C139" s="67"/>
      <c r="D139" s="68"/>
      <c r="E139" s="69"/>
      <c r="F139" s="70"/>
      <c r="G139" s="67"/>
      <c r="H139" s="71"/>
      <c r="I139" s="72"/>
      <c r="J139" s="72"/>
      <c r="K139" s="35"/>
      <c r="L139" s="80">
        <v>139</v>
      </c>
      <c r="M139" s="80"/>
      <c r="N139" s="74"/>
      <c r="O139" s="82" t="s">
        <v>909</v>
      </c>
      <c r="P139" s="82" t="s">
        <v>197</v>
      </c>
      <c r="Q139" s="85" t="s">
        <v>1046</v>
      </c>
      <c r="R139" s="82" t="s">
        <v>336</v>
      </c>
      <c r="S139" s="82" t="s">
        <v>1802</v>
      </c>
      <c r="T139" s="87" t="str">
        <f>HYPERLINK("http://www.youtube.com/channel/UCzG1sBr9bsjzGeLLY56Sb6g")</f>
        <v>http://www.youtube.com/channel/UCzG1sBr9bsjzGeLLY56Sb6g</v>
      </c>
      <c r="U139" s="82"/>
      <c r="V139" s="82" t="s">
        <v>2368</v>
      </c>
      <c r="W139" s="87" t="str">
        <f t="shared" si="4"/>
        <v>https://www.youtube.com/watch?v=gLvkWpnzba8</v>
      </c>
      <c r="X139" s="82" t="s">
        <v>2384</v>
      </c>
      <c r="Y139" s="82">
        <v>0</v>
      </c>
      <c r="Z139" s="89">
        <v>45272.38427083333</v>
      </c>
      <c r="AA139" s="89">
        <v>45272.38427083333</v>
      </c>
      <c r="AB139" s="82"/>
      <c r="AC139" s="82"/>
      <c r="AD139" s="85" t="s">
        <v>2423</v>
      </c>
      <c r="AE139" s="84" t="str">
        <f>REPLACE(INDEX(GroupVertices[Group],MATCH("~"&amp;Edges[[#This Row],[Vertex 1]],GroupVertices[Vertex],0)),1,1,"")</f>
        <v>6</v>
      </c>
      <c r="AF139" s="84" t="str">
        <f>REPLACE(INDEX(GroupVertices[Group],MATCH("~"&amp;Edges[[#This Row],[Vertex 2]],GroupVertices[Vertex],0)),1,1,"")</f>
        <v>6</v>
      </c>
    </row>
    <row r="140" spans="1:32" ht="15">
      <c r="A140" s="66" t="s">
        <v>337</v>
      </c>
      <c r="B140" s="66" t="s">
        <v>901</v>
      </c>
      <c r="C140" s="67"/>
      <c r="D140" s="68"/>
      <c r="E140" s="69"/>
      <c r="F140" s="70"/>
      <c r="G140" s="67"/>
      <c r="H140" s="71"/>
      <c r="I140" s="72"/>
      <c r="J140" s="72"/>
      <c r="K140" s="35"/>
      <c r="L140" s="80">
        <v>140</v>
      </c>
      <c r="M140" s="80"/>
      <c r="N140" s="74"/>
      <c r="O140" s="82" t="s">
        <v>909</v>
      </c>
      <c r="P140" s="82" t="s">
        <v>197</v>
      </c>
      <c r="Q140" s="85" t="s">
        <v>1047</v>
      </c>
      <c r="R140" s="82" t="s">
        <v>337</v>
      </c>
      <c r="S140" s="82" t="s">
        <v>1803</v>
      </c>
      <c r="T140" s="87" t="str">
        <f>HYPERLINK("http://www.youtube.com/channel/UCR4nOW155jWnyEuMLrwCbDQ")</f>
        <v>http://www.youtube.com/channel/UCR4nOW155jWnyEuMLrwCbDQ</v>
      </c>
      <c r="U140" s="82"/>
      <c r="V140" s="82" t="s">
        <v>2368</v>
      </c>
      <c r="W140" s="87" t="str">
        <f t="shared" si="4"/>
        <v>https://www.youtube.com/watch?v=gLvkWpnzba8</v>
      </c>
      <c r="X140" s="82" t="s">
        <v>2384</v>
      </c>
      <c r="Y140" s="82">
        <v>0</v>
      </c>
      <c r="Z140" s="89">
        <v>45273.03204861111</v>
      </c>
      <c r="AA140" s="89">
        <v>45273.03204861111</v>
      </c>
      <c r="AB140" s="82"/>
      <c r="AC140" s="82"/>
      <c r="AD140" s="85" t="s">
        <v>2423</v>
      </c>
      <c r="AE140" s="84" t="str">
        <f>REPLACE(INDEX(GroupVertices[Group],MATCH("~"&amp;Edges[[#This Row],[Vertex 1]],GroupVertices[Vertex],0)),1,1,"")</f>
        <v>6</v>
      </c>
      <c r="AF140" s="84" t="str">
        <f>REPLACE(INDEX(GroupVertices[Group],MATCH("~"&amp;Edges[[#This Row],[Vertex 2]],GroupVertices[Vertex],0)),1,1,"")</f>
        <v>6</v>
      </c>
    </row>
    <row r="141" spans="1:32" ht="15">
      <c r="A141" s="66" t="s">
        <v>338</v>
      </c>
      <c r="B141" s="66" t="s">
        <v>901</v>
      </c>
      <c r="C141" s="67"/>
      <c r="D141" s="68"/>
      <c r="E141" s="69"/>
      <c r="F141" s="70"/>
      <c r="G141" s="67"/>
      <c r="H141" s="71"/>
      <c r="I141" s="72"/>
      <c r="J141" s="72"/>
      <c r="K141" s="35"/>
      <c r="L141" s="80">
        <v>141</v>
      </c>
      <c r="M141" s="80"/>
      <c r="N141" s="74"/>
      <c r="O141" s="82" t="s">
        <v>909</v>
      </c>
      <c r="P141" s="82" t="s">
        <v>197</v>
      </c>
      <c r="Q141" s="85" t="s">
        <v>1048</v>
      </c>
      <c r="R141" s="82" t="s">
        <v>338</v>
      </c>
      <c r="S141" s="82" t="s">
        <v>1804</v>
      </c>
      <c r="T141" s="87" t="str">
        <f>HYPERLINK("http://www.youtube.com/channel/UCaPf_JwHows9ashsYXFissQ")</f>
        <v>http://www.youtube.com/channel/UCaPf_JwHows9ashsYXFissQ</v>
      </c>
      <c r="U141" s="82"/>
      <c r="V141" s="82" t="s">
        <v>2368</v>
      </c>
      <c r="W141" s="87" t="str">
        <f t="shared" si="4"/>
        <v>https://www.youtube.com/watch?v=gLvkWpnzba8</v>
      </c>
      <c r="X141" s="82" t="s">
        <v>2384</v>
      </c>
      <c r="Y141" s="82">
        <v>0</v>
      </c>
      <c r="Z141" s="89">
        <v>45273.10078703704</v>
      </c>
      <c r="AA141" s="89">
        <v>45273.10078703704</v>
      </c>
      <c r="AB141" s="82"/>
      <c r="AC141" s="82"/>
      <c r="AD141" s="85" t="s">
        <v>2423</v>
      </c>
      <c r="AE141" s="84" t="str">
        <f>REPLACE(INDEX(GroupVertices[Group],MATCH("~"&amp;Edges[[#This Row],[Vertex 1]],GroupVertices[Vertex],0)),1,1,"")</f>
        <v>6</v>
      </c>
      <c r="AF141" s="84" t="str">
        <f>REPLACE(INDEX(GroupVertices[Group],MATCH("~"&amp;Edges[[#This Row],[Vertex 2]],GroupVertices[Vertex],0)),1,1,"")</f>
        <v>6</v>
      </c>
    </row>
    <row r="142" spans="1:32" ht="15">
      <c r="A142" s="66" t="s">
        <v>339</v>
      </c>
      <c r="B142" s="66" t="s">
        <v>901</v>
      </c>
      <c r="C142" s="67"/>
      <c r="D142" s="68"/>
      <c r="E142" s="69"/>
      <c r="F142" s="70"/>
      <c r="G142" s="67"/>
      <c r="H142" s="71"/>
      <c r="I142" s="72"/>
      <c r="J142" s="72"/>
      <c r="K142" s="35"/>
      <c r="L142" s="80">
        <v>142</v>
      </c>
      <c r="M142" s="80"/>
      <c r="N142" s="74"/>
      <c r="O142" s="82" t="s">
        <v>909</v>
      </c>
      <c r="P142" s="82" t="s">
        <v>197</v>
      </c>
      <c r="Q142" s="85" t="s">
        <v>1049</v>
      </c>
      <c r="R142" s="82" t="s">
        <v>339</v>
      </c>
      <c r="S142" s="82" t="s">
        <v>1805</v>
      </c>
      <c r="T142" s="87" t="str">
        <f>HYPERLINK("http://www.youtube.com/channel/UC0FSF_eTGNel6MhJ8KJgy0w")</f>
        <v>http://www.youtube.com/channel/UC0FSF_eTGNel6MhJ8KJgy0w</v>
      </c>
      <c r="U142" s="82"/>
      <c r="V142" s="82" t="s">
        <v>2368</v>
      </c>
      <c r="W142" s="87" t="str">
        <f t="shared" si="4"/>
        <v>https://www.youtube.com/watch?v=gLvkWpnzba8</v>
      </c>
      <c r="X142" s="82" t="s">
        <v>2384</v>
      </c>
      <c r="Y142" s="82">
        <v>0</v>
      </c>
      <c r="Z142" s="89">
        <v>45275.31019675926</v>
      </c>
      <c r="AA142" s="89">
        <v>45275.31019675926</v>
      </c>
      <c r="AB142" s="82"/>
      <c r="AC142" s="82"/>
      <c r="AD142" s="85" t="s">
        <v>2423</v>
      </c>
      <c r="AE142" s="84" t="str">
        <f>REPLACE(INDEX(GroupVertices[Group],MATCH("~"&amp;Edges[[#This Row],[Vertex 1]],GroupVertices[Vertex],0)),1,1,"")</f>
        <v>6</v>
      </c>
      <c r="AF142" s="84" t="str">
        <f>REPLACE(INDEX(GroupVertices[Group],MATCH("~"&amp;Edges[[#This Row],[Vertex 2]],GroupVertices[Vertex],0)),1,1,"")</f>
        <v>6</v>
      </c>
    </row>
    <row r="143" spans="1:32" ht="15">
      <c r="A143" s="66" t="s">
        <v>340</v>
      </c>
      <c r="B143" s="66" t="s">
        <v>901</v>
      </c>
      <c r="C143" s="67"/>
      <c r="D143" s="68"/>
      <c r="E143" s="69"/>
      <c r="F143" s="70"/>
      <c r="G143" s="67"/>
      <c r="H143" s="71"/>
      <c r="I143" s="72"/>
      <c r="J143" s="72"/>
      <c r="K143" s="35"/>
      <c r="L143" s="80">
        <v>143</v>
      </c>
      <c r="M143" s="80"/>
      <c r="N143" s="74"/>
      <c r="O143" s="82" t="s">
        <v>909</v>
      </c>
      <c r="P143" s="82" t="s">
        <v>197</v>
      </c>
      <c r="Q143" s="85" t="s">
        <v>1050</v>
      </c>
      <c r="R143" s="82" t="s">
        <v>340</v>
      </c>
      <c r="S143" s="82" t="s">
        <v>1806</v>
      </c>
      <c r="T143" s="87" t="str">
        <f>HYPERLINK("http://www.youtube.com/channel/UCtDpcD9Jk26fmd1Z4NgJD4Q")</f>
        <v>http://www.youtube.com/channel/UCtDpcD9Jk26fmd1Z4NgJD4Q</v>
      </c>
      <c r="U143" s="82"/>
      <c r="V143" s="82" t="s">
        <v>2368</v>
      </c>
      <c r="W143" s="87" t="str">
        <f t="shared" si="4"/>
        <v>https://www.youtube.com/watch?v=gLvkWpnzba8</v>
      </c>
      <c r="X143" s="82" t="s">
        <v>2384</v>
      </c>
      <c r="Y143" s="82">
        <v>0</v>
      </c>
      <c r="Z143" s="89">
        <v>45277.00221064815</v>
      </c>
      <c r="AA143" s="89">
        <v>45277.00221064815</v>
      </c>
      <c r="AB143" s="82" t="s">
        <v>2393</v>
      </c>
      <c r="AC143" s="82" t="s">
        <v>2416</v>
      </c>
      <c r="AD143" s="85" t="s">
        <v>2423</v>
      </c>
      <c r="AE143" s="84" t="str">
        <f>REPLACE(INDEX(GroupVertices[Group],MATCH("~"&amp;Edges[[#This Row],[Vertex 1]],GroupVertices[Vertex],0)),1,1,"")</f>
        <v>6</v>
      </c>
      <c r="AF143" s="84" t="str">
        <f>REPLACE(INDEX(GroupVertices[Group],MATCH("~"&amp;Edges[[#This Row],[Vertex 2]],GroupVertices[Vertex],0)),1,1,"")</f>
        <v>6</v>
      </c>
    </row>
    <row r="144" spans="1:32" ht="15">
      <c r="A144" s="66" t="s">
        <v>341</v>
      </c>
      <c r="B144" s="66" t="s">
        <v>901</v>
      </c>
      <c r="C144" s="67"/>
      <c r="D144" s="68"/>
      <c r="E144" s="69"/>
      <c r="F144" s="70"/>
      <c r="G144" s="67"/>
      <c r="H144" s="71"/>
      <c r="I144" s="72"/>
      <c r="J144" s="72"/>
      <c r="K144" s="35"/>
      <c r="L144" s="80">
        <v>144</v>
      </c>
      <c r="M144" s="80"/>
      <c r="N144" s="74"/>
      <c r="O144" s="82" t="s">
        <v>909</v>
      </c>
      <c r="P144" s="82" t="s">
        <v>197</v>
      </c>
      <c r="Q144" s="85" t="s">
        <v>1051</v>
      </c>
      <c r="R144" s="82" t="s">
        <v>341</v>
      </c>
      <c r="S144" s="82" t="s">
        <v>1807</v>
      </c>
      <c r="T144" s="87" t="str">
        <f>HYPERLINK("http://www.youtube.com/channel/UCZLu92TSG1K7-7IJXmU6fEA")</f>
        <v>http://www.youtube.com/channel/UCZLu92TSG1K7-7IJXmU6fEA</v>
      </c>
      <c r="U144" s="82"/>
      <c r="V144" s="82" t="s">
        <v>2368</v>
      </c>
      <c r="W144" s="87" t="str">
        <f t="shared" si="4"/>
        <v>https://www.youtube.com/watch?v=gLvkWpnzba8</v>
      </c>
      <c r="X144" s="82" t="s">
        <v>2384</v>
      </c>
      <c r="Y144" s="82">
        <v>0</v>
      </c>
      <c r="Z144" s="89">
        <v>45277.74028935185</v>
      </c>
      <c r="AA144" s="89">
        <v>45277.74028935185</v>
      </c>
      <c r="AB144" s="82"/>
      <c r="AC144" s="82"/>
      <c r="AD144" s="85" t="s">
        <v>2423</v>
      </c>
      <c r="AE144" s="84" t="str">
        <f>REPLACE(INDEX(GroupVertices[Group],MATCH("~"&amp;Edges[[#This Row],[Vertex 1]],GroupVertices[Vertex],0)),1,1,"")</f>
        <v>6</v>
      </c>
      <c r="AF144" s="84" t="str">
        <f>REPLACE(INDEX(GroupVertices[Group],MATCH("~"&amp;Edges[[#This Row],[Vertex 2]],GroupVertices[Vertex],0)),1,1,"")</f>
        <v>6</v>
      </c>
    </row>
    <row r="145" spans="1:32" ht="15">
      <c r="A145" s="66" t="s">
        <v>342</v>
      </c>
      <c r="B145" s="66" t="s">
        <v>901</v>
      </c>
      <c r="C145" s="67"/>
      <c r="D145" s="68"/>
      <c r="E145" s="69"/>
      <c r="F145" s="70"/>
      <c r="G145" s="67"/>
      <c r="H145" s="71"/>
      <c r="I145" s="72"/>
      <c r="J145" s="72"/>
      <c r="K145" s="35"/>
      <c r="L145" s="80">
        <v>145</v>
      </c>
      <c r="M145" s="80"/>
      <c r="N145" s="74"/>
      <c r="O145" s="82" t="s">
        <v>909</v>
      </c>
      <c r="P145" s="82" t="s">
        <v>197</v>
      </c>
      <c r="Q145" s="85" t="s">
        <v>1052</v>
      </c>
      <c r="R145" s="82" t="s">
        <v>342</v>
      </c>
      <c r="S145" s="82" t="s">
        <v>1808</v>
      </c>
      <c r="T145" s="87" t="str">
        <f>HYPERLINK("http://www.youtube.com/channel/UCFrhm26pLZoaqkSb7QfOweg")</f>
        <v>http://www.youtube.com/channel/UCFrhm26pLZoaqkSb7QfOweg</v>
      </c>
      <c r="U145" s="82"/>
      <c r="V145" s="82" t="s">
        <v>2368</v>
      </c>
      <c r="W145" s="87" t="str">
        <f t="shared" si="4"/>
        <v>https://www.youtube.com/watch?v=gLvkWpnzba8</v>
      </c>
      <c r="X145" s="82" t="s">
        <v>2384</v>
      </c>
      <c r="Y145" s="82">
        <v>0</v>
      </c>
      <c r="Z145" s="89">
        <v>45281.768009259256</v>
      </c>
      <c r="AA145" s="89">
        <v>45281.7725</v>
      </c>
      <c r="AB145" s="82"/>
      <c r="AC145" s="82"/>
      <c r="AD145" s="85" t="s">
        <v>2423</v>
      </c>
      <c r="AE145" s="84" t="str">
        <f>REPLACE(INDEX(GroupVertices[Group],MATCH("~"&amp;Edges[[#This Row],[Vertex 1]],GroupVertices[Vertex],0)),1,1,"")</f>
        <v>6</v>
      </c>
      <c r="AF145" s="84" t="str">
        <f>REPLACE(INDEX(GroupVertices[Group],MATCH("~"&amp;Edges[[#This Row],[Vertex 2]],GroupVertices[Vertex],0)),1,1,"")</f>
        <v>6</v>
      </c>
    </row>
    <row r="146" spans="1:32" ht="15">
      <c r="A146" s="66" t="s">
        <v>343</v>
      </c>
      <c r="B146" s="66" t="s">
        <v>901</v>
      </c>
      <c r="C146" s="67"/>
      <c r="D146" s="68"/>
      <c r="E146" s="69"/>
      <c r="F146" s="70"/>
      <c r="G146" s="67"/>
      <c r="H146" s="71"/>
      <c r="I146" s="72"/>
      <c r="J146" s="72"/>
      <c r="K146" s="35"/>
      <c r="L146" s="80">
        <v>146</v>
      </c>
      <c r="M146" s="80"/>
      <c r="N146" s="74"/>
      <c r="O146" s="82" t="s">
        <v>909</v>
      </c>
      <c r="P146" s="82" t="s">
        <v>197</v>
      </c>
      <c r="Q146" s="85" t="s">
        <v>1053</v>
      </c>
      <c r="R146" s="82" t="s">
        <v>343</v>
      </c>
      <c r="S146" s="82" t="s">
        <v>1809</v>
      </c>
      <c r="T146" s="87" t="str">
        <f>HYPERLINK("http://www.youtube.com/channel/UCJCAftk_n2vvWeGFyBsfS1g")</f>
        <v>http://www.youtube.com/channel/UCJCAftk_n2vvWeGFyBsfS1g</v>
      </c>
      <c r="U146" s="82"/>
      <c r="V146" s="82" t="s">
        <v>2368</v>
      </c>
      <c r="W146" s="87" t="str">
        <f t="shared" si="4"/>
        <v>https://www.youtube.com/watch?v=gLvkWpnzba8</v>
      </c>
      <c r="X146" s="82" t="s">
        <v>2384</v>
      </c>
      <c r="Y146" s="82">
        <v>0</v>
      </c>
      <c r="Z146" s="89">
        <v>45283.204375</v>
      </c>
      <c r="AA146" s="89">
        <v>45283.204375</v>
      </c>
      <c r="AB146" s="82"/>
      <c r="AC146" s="82"/>
      <c r="AD146" s="85" t="s">
        <v>2423</v>
      </c>
      <c r="AE146" s="84" t="str">
        <f>REPLACE(INDEX(GroupVertices[Group],MATCH("~"&amp;Edges[[#This Row],[Vertex 1]],GroupVertices[Vertex],0)),1,1,"")</f>
        <v>6</v>
      </c>
      <c r="AF146" s="84" t="str">
        <f>REPLACE(INDEX(GroupVertices[Group],MATCH("~"&amp;Edges[[#This Row],[Vertex 2]],GroupVertices[Vertex],0)),1,1,"")</f>
        <v>6</v>
      </c>
    </row>
    <row r="147" spans="1:32" ht="15">
      <c r="A147" s="66" t="s">
        <v>344</v>
      </c>
      <c r="B147" s="66" t="s">
        <v>901</v>
      </c>
      <c r="C147" s="67"/>
      <c r="D147" s="68"/>
      <c r="E147" s="69"/>
      <c r="F147" s="70"/>
      <c r="G147" s="67"/>
      <c r="H147" s="71"/>
      <c r="I147" s="72"/>
      <c r="J147" s="72"/>
      <c r="K147" s="35"/>
      <c r="L147" s="80">
        <v>147</v>
      </c>
      <c r="M147" s="80"/>
      <c r="N147" s="74"/>
      <c r="O147" s="82" t="s">
        <v>909</v>
      </c>
      <c r="P147" s="82" t="s">
        <v>197</v>
      </c>
      <c r="Q147" s="85" t="s">
        <v>1054</v>
      </c>
      <c r="R147" s="82" t="s">
        <v>344</v>
      </c>
      <c r="S147" s="82" t="s">
        <v>1810</v>
      </c>
      <c r="T147" s="87" t="str">
        <f>HYPERLINK("http://www.youtube.com/channel/UCoDvNx5toVd-jYsMtURa21A")</f>
        <v>http://www.youtube.com/channel/UCoDvNx5toVd-jYsMtURa21A</v>
      </c>
      <c r="U147" s="82"/>
      <c r="V147" s="82" t="s">
        <v>2368</v>
      </c>
      <c r="W147" s="87" t="str">
        <f t="shared" si="4"/>
        <v>https://www.youtube.com/watch?v=gLvkWpnzba8</v>
      </c>
      <c r="X147" s="82" t="s">
        <v>2384</v>
      </c>
      <c r="Y147" s="82">
        <v>0</v>
      </c>
      <c r="Z147" s="89">
        <v>45283.30701388889</v>
      </c>
      <c r="AA147" s="89">
        <v>45283.30701388889</v>
      </c>
      <c r="AB147" s="82"/>
      <c r="AC147" s="82"/>
      <c r="AD147" s="85" t="s">
        <v>2423</v>
      </c>
      <c r="AE147" s="84" t="str">
        <f>REPLACE(INDEX(GroupVertices[Group],MATCH("~"&amp;Edges[[#This Row],[Vertex 1]],GroupVertices[Vertex],0)),1,1,"")</f>
        <v>6</v>
      </c>
      <c r="AF147" s="84" t="str">
        <f>REPLACE(INDEX(GroupVertices[Group],MATCH("~"&amp;Edges[[#This Row],[Vertex 2]],GroupVertices[Vertex],0)),1,1,"")</f>
        <v>6</v>
      </c>
    </row>
    <row r="148" spans="1:32" ht="15">
      <c r="A148" s="66" t="s">
        <v>345</v>
      </c>
      <c r="B148" s="66" t="s">
        <v>901</v>
      </c>
      <c r="C148" s="67"/>
      <c r="D148" s="68"/>
      <c r="E148" s="69"/>
      <c r="F148" s="70"/>
      <c r="G148" s="67"/>
      <c r="H148" s="71"/>
      <c r="I148" s="72"/>
      <c r="J148" s="72"/>
      <c r="K148" s="35"/>
      <c r="L148" s="80">
        <v>148</v>
      </c>
      <c r="M148" s="80"/>
      <c r="N148" s="74"/>
      <c r="O148" s="82" t="s">
        <v>909</v>
      </c>
      <c r="P148" s="82" t="s">
        <v>197</v>
      </c>
      <c r="Q148" s="85" t="s">
        <v>1055</v>
      </c>
      <c r="R148" s="82" t="s">
        <v>345</v>
      </c>
      <c r="S148" s="82" t="s">
        <v>1811</v>
      </c>
      <c r="T148" s="87" t="str">
        <f>HYPERLINK("http://www.youtube.com/channel/UCsa7ufR_GdbBcL8QVEzIdOQ")</f>
        <v>http://www.youtube.com/channel/UCsa7ufR_GdbBcL8QVEzIdOQ</v>
      </c>
      <c r="U148" s="82"/>
      <c r="V148" s="82" t="s">
        <v>2368</v>
      </c>
      <c r="W148" s="87" t="str">
        <f t="shared" si="4"/>
        <v>https://www.youtube.com/watch?v=gLvkWpnzba8</v>
      </c>
      <c r="X148" s="82" t="s">
        <v>2384</v>
      </c>
      <c r="Y148" s="82">
        <v>0</v>
      </c>
      <c r="Z148" s="89">
        <v>45284.426203703704</v>
      </c>
      <c r="AA148" s="89">
        <v>45284.426203703704</v>
      </c>
      <c r="AB148" s="82"/>
      <c r="AC148" s="82"/>
      <c r="AD148" s="85" t="s">
        <v>2423</v>
      </c>
      <c r="AE148" s="84" t="str">
        <f>REPLACE(INDEX(GroupVertices[Group],MATCH("~"&amp;Edges[[#This Row],[Vertex 1]],GroupVertices[Vertex],0)),1,1,"")</f>
        <v>6</v>
      </c>
      <c r="AF148" s="84" t="str">
        <f>REPLACE(INDEX(GroupVertices[Group],MATCH("~"&amp;Edges[[#This Row],[Vertex 2]],GroupVertices[Vertex],0)),1,1,"")</f>
        <v>6</v>
      </c>
    </row>
    <row r="149" spans="1:32" ht="15">
      <c r="A149" s="66" t="s">
        <v>346</v>
      </c>
      <c r="B149" s="66" t="s">
        <v>901</v>
      </c>
      <c r="C149" s="67"/>
      <c r="D149" s="68"/>
      <c r="E149" s="69"/>
      <c r="F149" s="70"/>
      <c r="G149" s="67"/>
      <c r="H149" s="71"/>
      <c r="I149" s="72"/>
      <c r="J149" s="72"/>
      <c r="K149" s="35"/>
      <c r="L149" s="80">
        <v>149</v>
      </c>
      <c r="M149" s="80"/>
      <c r="N149" s="74"/>
      <c r="O149" s="82" t="s">
        <v>909</v>
      </c>
      <c r="P149" s="82" t="s">
        <v>197</v>
      </c>
      <c r="Q149" s="85" t="s">
        <v>1056</v>
      </c>
      <c r="R149" s="82" t="s">
        <v>346</v>
      </c>
      <c r="S149" s="82" t="s">
        <v>1812</v>
      </c>
      <c r="T149" s="87" t="str">
        <f>HYPERLINK("http://www.youtube.com/channel/UC1pAg-4zbxj2X8r_Ar_kv0Q")</f>
        <v>http://www.youtube.com/channel/UC1pAg-4zbxj2X8r_Ar_kv0Q</v>
      </c>
      <c r="U149" s="82"/>
      <c r="V149" s="82" t="s">
        <v>2368</v>
      </c>
      <c r="W149" s="87" t="str">
        <f t="shared" si="4"/>
        <v>https://www.youtube.com/watch?v=gLvkWpnzba8</v>
      </c>
      <c r="X149" s="82" t="s">
        <v>2384</v>
      </c>
      <c r="Y149" s="82">
        <v>0</v>
      </c>
      <c r="Z149" s="89">
        <v>45286.261412037034</v>
      </c>
      <c r="AA149" s="89">
        <v>45286.261412037034</v>
      </c>
      <c r="AB149" s="82"/>
      <c r="AC149" s="82"/>
      <c r="AD149" s="85" t="s">
        <v>2423</v>
      </c>
      <c r="AE149" s="84" t="str">
        <f>REPLACE(INDEX(GroupVertices[Group],MATCH("~"&amp;Edges[[#This Row],[Vertex 1]],GroupVertices[Vertex],0)),1,1,"")</f>
        <v>6</v>
      </c>
      <c r="AF149" s="84" t="str">
        <f>REPLACE(INDEX(GroupVertices[Group],MATCH("~"&amp;Edges[[#This Row],[Vertex 2]],GroupVertices[Vertex],0)),1,1,"")</f>
        <v>6</v>
      </c>
    </row>
    <row r="150" spans="1:32" ht="15">
      <c r="A150" s="66" t="s">
        <v>347</v>
      </c>
      <c r="B150" s="66" t="s">
        <v>901</v>
      </c>
      <c r="C150" s="67"/>
      <c r="D150" s="68"/>
      <c r="E150" s="69"/>
      <c r="F150" s="70"/>
      <c r="G150" s="67"/>
      <c r="H150" s="71"/>
      <c r="I150" s="72"/>
      <c r="J150" s="72"/>
      <c r="K150" s="35"/>
      <c r="L150" s="80">
        <v>150</v>
      </c>
      <c r="M150" s="80"/>
      <c r="N150" s="74"/>
      <c r="O150" s="82" t="s">
        <v>909</v>
      </c>
      <c r="P150" s="82" t="s">
        <v>197</v>
      </c>
      <c r="Q150" s="85" t="s">
        <v>1057</v>
      </c>
      <c r="R150" s="82" t="s">
        <v>347</v>
      </c>
      <c r="S150" s="82" t="s">
        <v>1813</v>
      </c>
      <c r="T150" s="87" t="str">
        <f>HYPERLINK("http://www.youtube.com/channel/UC9EMSPcvVnMmkXO8j47f8uA")</f>
        <v>http://www.youtube.com/channel/UC9EMSPcvVnMmkXO8j47f8uA</v>
      </c>
      <c r="U150" s="82"/>
      <c r="V150" s="82" t="s">
        <v>2368</v>
      </c>
      <c r="W150" s="87" t="str">
        <f t="shared" si="4"/>
        <v>https://www.youtube.com/watch?v=gLvkWpnzba8</v>
      </c>
      <c r="X150" s="82" t="s">
        <v>2384</v>
      </c>
      <c r="Y150" s="82">
        <v>1</v>
      </c>
      <c r="Z150" s="89">
        <v>45287.792962962965</v>
      </c>
      <c r="AA150" s="89">
        <v>45287.792962962965</v>
      </c>
      <c r="AB150" s="82"/>
      <c r="AC150" s="82"/>
      <c r="AD150" s="85" t="s">
        <v>2423</v>
      </c>
      <c r="AE150" s="84" t="str">
        <f>REPLACE(INDEX(GroupVertices[Group],MATCH("~"&amp;Edges[[#This Row],[Vertex 1]],GroupVertices[Vertex],0)),1,1,"")</f>
        <v>6</v>
      </c>
      <c r="AF150" s="84" t="str">
        <f>REPLACE(INDEX(GroupVertices[Group],MATCH("~"&amp;Edges[[#This Row],[Vertex 2]],GroupVertices[Vertex],0)),1,1,"")</f>
        <v>6</v>
      </c>
    </row>
    <row r="151" spans="1:32" ht="15">
      <c r="A151" s="66" t="s">
        <v>348</v>
      </c>
      <c r="B151" s="66" t="s">
        <v>901</v>
      </c>
      <c r="C151" s="67"/>
      <c r="D151" s="68"/>
      <c r="E151" s="69"/>
      <c r="F151" s="70"/>
      <c r="G151" s="67"/>
      <c r="H151" s="71"/>
      <c r="I151" s="72"/>
      <c r="J151" s="72"/>
      <c r="K151" s="35"/>
      <c r="L151" s="80">
        <v>151</v>
      </c>
      <c r="M151" s="80"/>
      <c r="N151" s="74"/>
      <c r="O151" s="82" t="s">
        <v>909</v>
      </c>
      <c r="P151" s="82" t="s">
        <v>197</v>
      </c>
      <c r="Q151" s="85" t="s">
        <v>1058</v>
      </c>
      <c r="R151" s="82" t="s">
        <v>348</v>
      </c>
      <c r="S151" s="82" t="s">
        <v>1814</v>
      </c>
      <c r="T151" s="87" t="str">
        <f>HYPERLINK("http://www.youtube.com/channel/UCTt3dKQ0s6UMtLAzp7-DLTA")</f>
        <v>http://www.youtube.com/channel/UCTt3dKQ0s6UMtLAzp7-DLTA</v>
      </c>
      <c r="U151" s="82"/>
      <c r="V151" s="82" t="s">
        <v>2368</v>
      </c>
      <c r="W151" s="87" t="str">
        <f t="shared" si="4"/>
        <v>https://www.youtube.com/watch?v=gLvkWpnzba8</v>
      </c>
      <c r="X151" s="82" t="s">
        <v>2384</v>
      </c>
      <c r="Y151" s="82">
        <v>0</v>
      </c>
      <c r="Z151" s="89">
        <v>45289.145625</v>
      </c>
      <c r="AA151" s="89">
        <v>45289.145625</v>
      </c>
      <c r="AB151" s="82"/>
      <c r="AC151" s="82"/>
      <c r="AD151" s="85" t="s">
        <v>2423</v>
      </c>
      <c r="AE151" s="84" t="str">
        <f>REPLACE(INDEX(GroupVertices[Group],MATCH("~"&amp;Edges[[#This Row],[Vertex 1]],GroupVertices[Vertex],0)),1,1,"")</f>
        <v>6</v>
      </c>
      <c r="AF151" s="84" t="str">
        <f>REPLACE(INDEX(GroupVertices[Group],MATCH("~"&amp;Edges[[#This Row],[Vertex 2]],GroupVertices[Vertex],0)),1,1,"")</f>
        <v>6</v>
      </c>
    </row>
    <row r="152" spans="1:32" ht="15">
      <c r="A152" s="66" t="s">
        <v>349</v>
      </c>
      <c r="B152" s="66" t="s">
        <v>901</v>
      </c>
      <c r="C152" s="67"/>
      <c r="D152" s="68"/>
      <c r="E152" s="69"/>
      <c r="F152" s="70"/>
      <c r="G152" s="67"/>
      <c r="H152" s="71"/>
      <c r="I152" s="72"/>
      <c r="J152" s="72"/>
      <c r="K152" s="35"/>
      <c r="L152" s="80">
        <v>152</v>
      </c>
      <c r="M152" s="80"/>
      <c r="N152" s="74"/>
      <c r="O152" s="82" t="s">
        <v>909</v>
      </c>
      <c r="P152" s="82" t="s">
        <v>197</v>
      </c>
      <c r="Q152" s="85" t="s">
        <v>1059</v>
      </c>
      <c r="R152" s="82" t="s">
        <v>349</v>
      </c>
      <c r="S152" s="82" t="s">
        <v>1815</v>
      </c>
      <c r="T152" s="87" t="str">
        <f>HYPERLINK("http://www.youtube.com/channel/UCnLDyDybtcRySusa6e7mvKg")</f>
        <v>http://www.youtube.com/channel/UCnLDyDybtcRySusa6e7mvKg</v>
      </c>
      <c r="U152" s="82"/>
      <c r="V152" s="82" t="s">
        <v>2368</v>
      </c>
      <c r="W152" s="87" t="str">
        <f t="shared" si="4"/>
        <v>https://www.youtube.com/watch?v=gLvkWpnzba8</v>
      </c>
      <c r="X152" s="82" t="s">
        <v>2384</v>
      </c>
      <c r="Y152" s="82">
        <v>0</v>
      </c>
      <c r="Z152" s="89">
        <v>45290.780023148145</v>
      </c>
      <c r="AA152" s="89">
        <v>45290.79574074074</v>
      </c>
      <c r="AB152" s="82"/>
      <c r="AC152" s="82"/>
      <c r="AD152" s="85" t="s">
        <v>2423</v>
      </c>
      <c r="AE152" s="84" t="str">
        <f>REPLACE(INDEX(GroupVertices[Group],MATCH("~"&amp;Edges[[#This Row],[Vertex 1]],GroupVertices[Vertex],0)),1,1,"")</f>
        <v>6</v>
      </c>
      <c r="AF152" s="84" t="str">
        <f>REPLACE(INDEX(GroupVertices[Group],MATCH("~"&amp;Edges[[#This Row],[Vertex 2]],GroupVertices[Vertex],0)),1,1,"")</f>
        <v>6</v>
      </c>
    </row>
    <row r="153" spans="1:32" ht="15">
      <c r="A153" s="66" t="s">
        <v>350</v>
      </c>
      <c r="B153" s="66" t="s">
        <v>901</v>
      </c>
      <c r="C153" s="67"/>
      <c r="D153" s="68"/>
      <c r="E153" s="69"/>
      <c r="F153" s="70"/>
      <c r="G153" s="67"/>
      <c r="H153" s="71"/>
      <c r="I153" s="72"/>
      <c r="J153" s="72"/>
      <c r="K153" s="35"/>
      <c r="L153" s="80">
        <v>153</v>
      </c>
      <c r="M153" s="80"/>
      <c r="N153" s="74"/>
      <c r="O153" s="82" t="s">
        <v>909</v>
      </c>
      <c r="P153" s="82" t="s">
        <v>197</v>
      </c>
      <c r="Q153" s="85" t="s">
        <v>1060</v>
      </c>
      <c r="R153" s="82" t="s">
        <v>350</v>
      </c>
      <c r="S153" s="82" t="s">
        <v>1816</v>
      </c>
      <c r="T153" s="87" t="str">
        <f>HYPERLINK("http://www.youtube.com/channel/UCqQcN29mLdvlwDd4TFEzsoA")</f>
        <v>http://www.youtube.com/channel/UCqQcN29mLdvlwDd4TFEzsoA</v>
      </c>
      <c r="U153" s="82"/>
      <c r="V153" s="82" t="s">
        <v>2368</v>
      </c>
      <c r="W153" s="87" t="str">
        <f t="shared" si="4"/>
        <v>https://www.youtube.com/watch?v=gLvkWpnzba8</v>
      </c>
      <c r="X153" s="82" t="s">
        <v>2384</v>
      </c>
      <c r="Y153" s="82">
        <v>0</v>
      </c>
      <c r="Z153" s="89">
        <v>45303.12866898148</v>
      </c>
      <c r="AA153" s="89">
        <v>45303.12866898148</v>
      </c>
      <c r="AB153" s="82"/>
      <c r="AC153" s="82"/>
      <c r="AD153" s="85" t="s">
        <v>2423</v>
      </c>
      <c r="AE153" s="84" t="str">
        <f>REPLACE(INDEX(GroupVertices[Group],MATCH("~"&amp;Edges[[#This Row],[Vertex 1]],GroupVertices[Vertex],0)),1,1,"")</f>
        <v>6</v>
      </c>
      <c r="AF153" s="84" t="str">
        <f>REPLACE(INDEX(GroupVertices[Group],MATCH("~"&amp;Edges[[#This Row],[Vertex 2]],GroupVertices[Vertex],0)),1,1,"")</f>
        <v>6</v>
      </c>
    </row>
    <row r="154" spans="1:32" ht="15">
      <c r="A154" s="66" t="s">
        <v>351</v>
      </c>
      <c r="B154" s="66" t="s">
        <v>901</v>
      </c>
      <c r="C154" s="67"/>
      <c r="D154" s="68"/>
      <c r="E154" s="69"/>
      <c r="F154" s="70"/>
      <c r="G154" s="67"/>
      <c r="H154" s="71"/>
      <c r="I154" s="72"/>
      <c r="J154" s="72"/>
      <c r="K154" s="35"/>
      <c r="L154" s="80">
        <v>154</v>
      </c>
      <c r="M154" s="80"/>
      <c r="N154" s="74"/>
      <c r="O154" s="82" t="s">
        <v>909</v>
      </c>
      <c r="P154" s="82" t="s">
        <v>197</v>
      </c>
      <c r="Q154" s="85" t="s">
        <v>1061</v>
      </c>
      <c r="R154" s="82" t="s">
        <v>351</v>
      </c>
      <c r="S154" s="82" t="s">
        <v>1817</v>
      </c>
      <c r="T154" s="87" t="str">
        <f>HYPERLINK("http://www.youtube.com/channel/UCl9Ia-paiXXFgFNkjkW7vYQ")</f>
        <v>http://www.youtube.com/channel/UCl9Ia-paiXXFgFNkjkW7vYQ</v>
      </c>
      <c r="U154" s="82"/>
      <c r="V154" s="82" t="s">
        <v>2368</v>
      </c>
      <c r="W154" s="87" t="str">
        <f t="shared" si="4"/>
        <v>https://www.youtube.com/watch?v=gLvkWpnzba8</v>
      </c>
      <c r="X154" s="82" t="s">
        <v>2384</v>
      </c>
      <c r="Y154" s="82">
        <v>0</v>
      </c>
      <c r="Z154" s="89">
        <v>45305.84127314815</v>
      </c>
      <c r="AA154" s="89">
        <v>45305.84127314815</v>
      </c>
      <c r="AB154" s="82"/>
      <c r="AC154" s="82"/>
      <c r="AD154" s="85" t="s">
        <v>2423</v>
      </c>
      <c r="AE154" s="84" t="str">
        <f>REPLACE(INDEX(GroupVertices[Group],MATCH("~"&amp;Edges[[#This Row],[Vertex 1]],GroupVertices[Vertex],0)),1,1,"")</f>
        <v>6</v>
      </c>
      <c r="AF154" s="84" t="str">
        <f>REPLACE(INDEX(GroupVertices[Group],MATCH("~"&amp;Edges[[#This Row],[Vertex 2]],GroupVertices[Vertex],0)),1,1,"")</f>
        <v>6</v>
      </c>
    </row>
    <row r="155" spans="1:32" ht="15">
      <c r="A155" s="66" t="s">
        <v>352</v>
      </c>
      <c r="B155" s="66" t="s">
        <v>902</v>
      </c>
      <c r="C155" s="67"/>
      <c r="D155" s="68"/>
      <c r="E155" s="69"/>
      <c r="F155" s="70"/>
      <c r="G155" s="67"/>
      <c r="H155" s="71"/>
      <c r="I155" s="72"/>
      <c r="J155" s="72"/>
      <c r="K155" s="35"/>
      <c r="L155" s="80">
        <v>155</v>
      </c>
      <c r="M155" s="80"/>
      <c r="N155" s="74"/>
      <c r="O155" s="82" t="s">
        <v>909</v>
      </c>
      <c r="P155" s="82" t="s">
        <v>197</v>
      </c>
      <c r="Q155" s="85" t="s">
        <v>1062</v>
      </c>
      <c r="R155" s="82" t="s">
        <v>352</v>
      </c>
      <c r="S155" s="82" t="s">
        <v>1818</v>
      </c>
      <c r="T155" s="87" t="str">
        <f>HYPERLINK("http://www.youtube.com/channel/UCCjw2_07e3cNGV2-FZ8PKpw")</f>
        <v>http://www.youtube.com/channel/UCCjw2_07e3cNGV2-FZ8PKpw</v>
      </c>
      <c r="U155" s="82"/>
      <c r="V155" s="82" t="s">
        <v>2369</v>
      </c>
      <c r="W155" s="87" t="str">
        <f aca="true" t="shared" si="5" ref="W155:W162">HYPERLINK("https://www.youtube.com/watch?v=E39neWnw9AA")</f>
        <v>https://www.youtube.com/watch?v=E39neWnw9AA</v>
      </c>
      <c r="X155" s="82" t="s">
        <v>2384</v>
      </c>
      <c r="Y155" s="82">
        <v>1</v>
      </c>
      <c r="Z155" s="89">
        <v>45261.16913194444</v>
      </c>
      <c r="AA155" s="89">
        <v>45261.16930555556</v>
      </c>
      <c r="AB155" s="82"/>
      <c r="AC155" s="82"/>
      <c r="AD155" s="85" t="s">
        <v>2423</v>
      </c>
      <c r="AE155" s="84" t="str">
        <f>REPLACE(INDEX(GroupVertices[Group],MATCH("~"&amp;Edges[[#This Row],[Vertex 1]],GroupVertices[Vertex],0)),1,1,"")</f>
        <v>4</v>
      </c>
      <c r="AF155" s="84" t="str">
        <f>REPLACE(INDEX(GroupVertices[Group],MATCH("~"&amp;Edges[[#This Row],[Vertex 2]],GroupVertices[Vertex],0)),1,1,"")</f>
        <v>4</v>
      </c>
    </row>
    <row r="156" spans="1:32" ht="15">
      <c r="A156" s="66" t="s">
        <v>353</v>
      </c>
      <c r="B156" s="66" t="s">
        <v>902</v>
      </c>
      <c r="C156" s="67"/>
      <c r="D156" s="68"/>
      <c r="E156" s="69"/>
      <c r="F156" s="70"/>
      <c r="G156" s="67"/>
      <c r="H156" s="71"/>
      <c r="I156" s="72"/>
      <c r="J156" s="72"/>
      <c r="K156" s="35"/>
      <c r="L156" s="80">
        <v>156</v>
      </c>
      <c r="M156" s="80"/>
      <c r="N156" s="74"/>
      <c r="O156" s="82" t="s">
        <v>909</v>
      </c>
      <c r="P156" s="82" t="s">
        <v>197</v>
      </c>
      <c r="Q156" s="85" t="s">
        <v>1063</v>
      </c>
      <c r="R156" s="82" t="s">
        <v>353</v>
      </c>
      <c r="S156" s="82" t="s">
        <v>1819</v>
      </c>
      <c r="T156" s="87" t="str">
        <f>HYPERLINK("http://www.youtube.com/channel/UC1I97o_F81HBd38njELb67g")</f>
        <v>http://www.youtube.com/channel/UC1I97o_F81HBd38njELb67g</v>
      </c>
      <c r="U156" s="82"/>
      <c r="V156" s="82" t="s">
        <v>2369</v>
      </c>
      <c r="W156" s="87" t="str">
        <f t="shared" si="5"/>
        <v>https://www.youtube.com/watch?v=E39neWnw9AA</v>
      </c>
      <c r="X156" s="82" t="s">
        <v>2384</v>
      </c>
      <c r="Y156" s="82">
        <v>0</v>
      </c>
      <c r="Z156" s="89">
        <v>45261.17172453704</v>
      </c>
      <c r="AA156" s="89">
        <v>45261.17172453704</v>
      </c>
      <c r="AB156" s="82"/>
      <c r="AC156" s="82"/>
      <c r="AD156" s="85" t="s">
        <v>2423</v>
      </c>
      <c r="AE156" s="84" t="str">
        <f>REPLACE(INDEX(GroupVertices[Group],MATCH("~"&amp;Edges[[#This Row],[Vertex 1]],GroupVertices[Vertex],0)),1,1,"")</f>
        <v>4</v>
      </c>
      <c r="AF156" s="84" t="str">
        <f>REPLACE(INDEX(GroupVertices[Group],MATCH("~"&amp;Edges[[#This Row],[Vertex 2]],GroupVertices[Vertex],0)),1,1,"")</f>
        <v>4</v>
      </c>
    </row>
    <row r="157" spans="1:32" ht="15">
      <c r="A157" s="66" t="s">
        <v>354</v>
      </c>
      <c r="B157" s="66" t="s">
        <v>902</v>
      </c>
      <c r="C157" s="67"/>
      <c r="D157" s="68"/>
      <c r="E157" s="69"/>
      <c r="F157" s="70"/>
      <c r="G157" s="67"/>
      <c r="H157" s="71"/>
      <c r="I157" s="72"/>
      <c r="J157" s="72"/>
      <c r="K157" s="35"/>
      <c r="L157" s="80">
        <v>157</v>
      </c>
      <c r="M157" s="80"/>
      <c r="N157" s="74"/>
      <c r="O157" s="82" t="s">
        <v>909</v>
      </c>
      <c r="P157" s="82" t="s">
        <v>197</v>
      </c>
      <c r="Q157" s="85" t="s">
        <v>1064</v>
      </c>
      <c r="R157" s="82" t="s">
        <v>354</v>
      </c>
      <c r="S157" s="82" t="s">
        <v>1820</v>
      </c>
      <c r="T157" s="87" t="str">
        <f>HYPERLINK("http://www.youtube.com/channel/UCcDFMggcyokNZtoUTDu9Hew")</f>
        <v>http://www.youtube.com/channel/UCcDFMggcyokNZtoUTDu9Hew</v>
      </c>
      <c r="U157" s="82"/>
      <c r="V157" s="82" t="s">
        <v>2369</v>
      </c>
      <c r="W157" s="87" t="str">
        <f t="shared" si="5"/>
        <v>https://www.youtube.com/watch?v=E39neWnw9AA</v>
      </c>
      <c r="X157" s="82" t="s">
        <v>2384</v>
      </c>
      <c r="Y157" s="82">
        <v>0</v>
      </c>
      <c r="Z157" s="89">
        <v>45261.177199074074</v>
      </c>
      <c r="AA157" s="89">
        <v>45261.177199074074</v>
      </c>
      <c r="AB157" s="82"/>
      <c r="AC157" s="82"/>
      <c r="AD157" s="85" t="s">
        <v>2423</v>
      </c>
      <c r="AE157" s="84" t="str">
        <f>REPLACE(INDEX(GroupVertices[Group],MATCH("~"&amp;Edges[[#This Row],[Vertex 1]],GroupVertices[Vertex],0)),1,1,"")</f>
        <v>4</v>
      </c>
      <c r="AF157" s="84" t="str">
        <f>REPLACE(INDEX(GroupVertices[Group],MATCH("~"&amp;Edges[[#This Row],[Vertex 2]],GroupVertices[Vertex],0)),1,1,"")</f>
        <v>4</v>
      </c>
    </row>
    <row r="158" spans="1:32" ht="15">
      <c r="A158" s="66" t="s">
        <v>355</v>
      </c>
      <c r="B158" s="66" t="s">
        <v>902</v>
      </c>
      <c r="C158" s="67"/>
      <c r="D158" s="68"/>
      <c r="E158" s="69"/>
      <c r="F158" s="70"/>
      <c r="G158" s="67"/>
      <c r="H158" s="71"/>
      <c r="I158" s="72"/>
      <c r="J158" s="72"/>
      <c r="K158" s="35"/>
      <c r="L158" s="80">
        <v>158</v>
      </c>
      <c r="M158" s="80"/>
      <c r="N158" s="74"/>
      <c r="O158" s="82" t="s">
        <v>909</v>
      </c>
      <c r="P158" s="82" t="s">
        <v>197</v>
      </c>
      <c r="Q158" s="85" t="s">
        <v>1065</v>
      </c>
      <c r="R158" s="82" t="s">
        <v>355</v>
      </c>
      <c r="S158" s="82" t="s">
        <v>1821</v>
      </c>
      <c r="T158" s="87" t="str">
        <f>HYPERLINK("http://www.youtube.com/channel/UCTACKVEdrckH1AUiaexX2tw")</f>
        <v>http://www.youtube.com/channel/UCTACKVEdrckH1AUiaexX2tw</v>
      </c>
      <c r="U158" s="82"/>
      <c r="V158" s="82" t="s">
        <v>2369</v>
      </c>
      <c r="W158" s="87" t="str">
        <f t="shared" si="5"/>
        <v>https://www.youtube.com/watch?v=E39neWnw9AA</v>
      </c>
      <c r="X158" s="82" t="s">
        <v>2384</v>
      </c>
      <c r="Y158" s="82">
        <v>1</v>
      </c>
      <c r="Z158" s="89">
        <v>45261.1853587963</v>
      </c>
      <c r="AA158" s="89">
        <v>45261.1853587963</v>
      </c>
      <c r="AB158" s="82"/>
      <c r="AC158" s="82"/>
      <c r="AD158" s="85" t="s">
        <v>2423</v>
      </c>
      <c r="AE158" s="84" t="str">
        <f>REPLACE(INDEX(GroupVertices[Group],MATCH("~"&amp;Edges[[#This Row],[Vertex 1]],GroupVertices[Vertex],0)),1,1,"")</f>
        <v>4</v>
      </c>
      <c r="AF158" s="84" t="str">
        <f>REPLACE(INDEX(GroupVertices[Group],MATCH("~"&amp;Edges[[#This Row],[Vertex 2]],GroupVertices[Vertex],0)),1,1,"")</f>
        <v>4</v>
      </c>
    </row>
    <row r="159" spans="1:32" ht="15">
      <c r="A159" s="66" t="s">
        <v>356</v>
      </c>
      <c r="B159" s="66" t="s">
        <v>902</v>
      </c>
      <c r="C159" s="67"/>
      <c r="D159" s="68"/>
      <c r="E159" s="69"/>
      <c r="F159" s="70"/>
      <c r="G159" s="67"/>
      <c r="H159" s="71"/>
      <c r="I159" s="72"/>
      <c r="J159" s="72"/>
      <c r="K159" s="35"/>
      <c r="L159" s="80">
        <v>159</v>
      </c>
      <c r="M159" s="80"/>
      <c r="N159" s="74"/>
      <c r="O159" s="82" t="s">
        <v>909</v>
      </c>
      <c r="P159" s="82" t="s">
        <v>197</v>
      </c>
      <c r="Q159" s="85" t="s">
        <v>1066</v>
      </c>
      <c r="R159" s="82" t="s">
        <v>356</v>
      </c>
      <c r="S159" s="82" t="s">
        <v>1822</v>
      </c>
      <c r="T159" s="87" t="str">
        <f>HYPERLINK("http://www.youtube.com/channel/UC19PQxNYrGzeZ-n4fUBVksw")</f>
        <v>http://www.youtube.com/channel/UC19PQxNYrGzeZ-n4fUBVksw</v>
      </c>
      <c r="U159" s="82"/>
      <c r="V159" s="82" t="s">
        <v>2369</v>
      </c>
      <c r="W159" s="87" t="str">
        <f t="shared" si="5"/>
        <v>https://www.youtube.com/watch?v=E39neWnw9AA</v>
      </c>
      <c r="X159" s="82" t="s">
        <v>2384</v>
      </c>
      <c r="Y159" s="82">
        <v>0</v>
      </c>
      <c r="Z159" s="89">
        <v>45261.22199074074</v>
      </c>
      <c r="AA159" s="89">
        <v>45261.22199074074</v>
      </c>
      <c r="AB159" s="82"/>
      <c r="AC159" s="82"/>
      <c r="AD159" s="85" t="s">
        <v>2423</v>
      </c>
      <c r="AE159" s="84" t="str">
        <f>REPLACE(INDEX(GroupVertices[Group],MATCH("~"&amp;Edges[[#This Row],[Vertex 1]],GroupVertices[Vertex],0)),1,1,"")</f>
        <v>4</v>
      </c>
      <c r="AF159" s="84" t="str">
        <f>REPLACE(INDEX(GroupVertices[Group],MATCH("~"&amp;Edges[[#This Row],[Vertex 2]],GroupVertices[Vertex],0)),1,1,"")</f>
        <v>4</v>
      </c>
    </row>
    <row r="160" spans="1:32" ht="15">
      <c r="A160" s="66" t="s">
        <v>357</v>
      </c>
      <c r="B160" s="66" t="s">
        <v>902</v>
      </c>
      <c r="C160" s="67"/>
      <c r="D160" s="68"/>
      <c r="E160" s="69"/>
      <c r="F160" s="70"/>
      <c r="G160" s="67"/>
      <c r="H160" s="71"/>
      <c r="I160" s="72"/>
      <c r="J160" s="72"/>
      <c r="K160" s="35"/>
      <c r="L160" s="80">
        <v>160</v>
      </c>
      <c r="M160" s="80"/>
      <c r="N160" s="74"/>
      <c r="O160" s="82" t="s">
        <v>909</v>
      </c>
      <c r="P160" s="82" t="s">
        <v>197</v>
      </c>
      <c r="Q160" s="85" t="s">
        <v>1067</v>
      </c>
      <c r="R160" s="82" t="s">
        <v>357</v>
      </c>
      <c r="S160" s="82" t="s">
        <v>1823</v>
      </c>
      <c r="T160" s="87" t="str">
        <f>HYPERLINK("http://www.youtube.com/channel/UCt8K11qwJHvOF1stRt9LmnQ")</f>
        <v>http://www.youtube.com/channel/UCt8K11qwJHvOF1stRt9LmnQ</v>
      </c>
      <c r="U160" s="82"/>
      <c r="V160" s="82" t="s">
        <v>2369</v>
      </c>
      <c r="W160" s="87" t="str">
        <f t="shared" si="5"/>
        <v>https://www.youtube.com/watch?v=E39neWnw9AA</v>
      </c>
      <c r="X160" s="82" t="s">
        <v>2384</v>
      </c>
      <c r="Y160" s="82">
        <v>0</v>
      </c>
      <c r="Z160" s="89">
        <v>45261.225381944445</v>
      </c>
      <c r="AA160" s="89">
        <v>45261.225381944445</v>
      </c>
      <c r="AB160" s="82"/>
      <c r="AC160" s="82"/>
      <c r="AD160" s="85" t="s">
        <v>2423</v>
      </c>
      <c r="AE160" s="84" t="str">
        <f>REPLACE(INDEX(GroupVertices[Group],MATCH("~"&amp;Edges[[#This Row],[Vertex 1]],GroupVertices[Vertex],0)),1,1,"")</f>
        <v>4</v>
      </c>
      <c r="AF160" s="84" t="str">
        <f>REPLACE(INDEX(GroupVertices[Group],MATCH("~"&amp;Edges[[#This Row],[Vertex 2]],GroupVertices[Vertex],0)),1,1,"")</f>
        <v>4</v>
      </c>
    </row>
    <row r="161" spans="1:32" ht="15">
      <c r="A161" s="66" t="s">
        <v>358</v>
      </c>
      <c r="B161" s="66" t="s">
        <v>902</v>
      </c>
      <c r="C161" s="67"/>
      <c r="D161" s="68"/>
      <c r="E161" s="69"/>
      <c r="F161" s="70"/>
      <c r="G161" s="67"/>
      <c r="H161" s="71"/>
      <c r="I161" s="72"/>
      <c r="J161" s="72"/>
      <c r="K161" s="35"/>
      <c r="L161" s="80">
        <v>161</v>
      </c>
      <c r="M161" s="80"/>
      <c r="N161" s="74"/>
      <c r="O161" s="82" t="s">
        <v>909</v>
      </c>
      <c r="P161" s="82" t="s">
        <v>197</v>
      </c>
      <c r="Q161" s="85" t="s">
        <v>1068</v>
      </c>
      <c r="R161" s="82" t="s">
        <v>358</v>
      </c>
      <c r="S161" s="82" t="s">
        <v>1824</v>
      </c>
      <c r="T161" s="87" t="str">
        <f>HYPERLINK("http://www.youtube.com/channel/UC2wIoJa95vh4xFLdtXiwu2Q")</f>
        <v>http://www.youtube.com/channel/UC2wIoJa95vh4xFLdtXiwu2Q</v>
      </c>
      <c r="U161" s="82"/>
      <c r="V161" s="82" t="s">
        <v>2369</v>
      </c>
      <c r="W161" s="87" t="str">
        <f t="shared" si="5"/>
        <v>https://www.youtube.com/watch?v=E39neWnw9AA</v>
      </c>
      <c r="X161" s="82" t="s">
        <v>2384</v>
      </c>
      <c r="Y161" s="82">
        <v>0</v>
      </c>
      <c r="Z161" s="89">
        <v>45261.22243055556</v>
      </c>
      <c r="AA161" s="89">
        <v>45261.22583333333</v>
      </c>
      <c r="AB161" s="82"/>
      <c r="AC161" s="82"/>
      <c r="AD161" s="85" t="s">
        <v>2423</v>
      </c>
      <c r="AE161" s="84" t="str">
        <f>REPLACE(INDEX(GroupVertices[Group],MATCH("~"&amp;Edges[[#This Row],[Vertex 1]],GroupVertices[Vertex],0)),1,1,"")</f>
        <v>4</v>
      </c>
      <c r="AF161" s="84" t="str">
        <f>REPLACE(INDEX(GroupVertices[Group],MATCH("~"&amp;Edges[[#This Row],[Vertex 2]],GroupVertices[Vertex],0)),1,1,"")</f>
        <v>4</v>
      </c>
    </row>
    <row r="162" spans="1:32" ht="15">
      <c r="A162" s="66" t="s">
        <v>358</v>
      </c>
      <c r="B162" s="66" t="s">
        <v>902</v>
      </c>
      <c r="C162" s="67"/>
      <c r="D162" s="68"/>
      <c r="E162" s="69"/>
      <c r="F162" s="70"/>
      <c r="G162" s="67"/>
      <c r="H162" s="71"/>
      <c r="I162" s="72"/>
      <c r="J162" s="72"/>
      <c r="K162" s="35"/>
      <c r="L162" s="80">
        <v>162</v>
      </c>
      <c r="M162" s="80"/>
      <c r="N162" s="74"/>
      <c r="O162" s="82" t="s">
        <v>909</v>
      </c>
      <c r="P162" s="82" t="s">
        <v>197</v>
      </c>
      <c r="Q162" s="85" t="s">
        <v>1069</v>
      </c>
      <c r="R162" s="82" t="s">
        <v>358</v>
      </c>
      <c r="S162" s="82" t="s">
        <v>1824</v>
      </c>
      <c r="T162" s="87" t="str">
        <f>HYPERLINK("http://www.youtube.com/channel/UC2wIoJa95vh4xFLdtXiwu2Q")</f>
        <v>http://www.youtube.com/channel/UC2wIoJa95vh4xFLdtXiwu2Q</v>
      </c>
      <c r="U162" s="82"/>
      <c r="V162" s="82" t="s">
        <v>2369</v>
      </c>
      <c r="W162" s="87" t="str">
        <f t="shared" si="5"/>
        <v>https://www.youtube.com/watch?v=E39neWnw9AA</v>
      </c>
      <c r="X162" s="82" t="s">
        <v>2384</v>
      </c>
      <c r="Y162" s="82">
        <v>0</v>
      </c>
      <c r="Z162" s="89">
        <v>45261.23339120371</v>
      </c>
      <c r="AA162" s="89">
        <v>45261.234768518516</v>
      </c>
      <c r="AB162" s="82"/>
      <c r="AC162" s="82"/>
      <c r="AD162" s="85" t="s">
        <v>2423</v>
      </c>
      <c r="AE162" s="84" t="str">
        <f>REPLACE(INDEX(GroupVertices[Group],MATCH("~"&amp;Edges[[#This Row],[Vertex 1]],GroupVertices[Vertex],0)),1,1,"")</f>
        <v>4</v>
      </c>
      <c r="AF162" s="84" t="str">
        <f>REPLACE(INDEX(GroupVertices[Group],MATCH("~"&amp;Edges[[#This Row],[Vertex 2]],GroupVertices[Vertex],0)),1,1,"")</f>
        <v>4</v>
      </c>
    </row>
    <row r="163" spans="1:32" ht="15">
      <c r="A163" s="66" t="s">
        <v>359</v>
      </c>
      <c r="B163" s="66" t="s">
        <v>899</v>
      </c>
      <c r="C163" s="67"/>
      <c r="D163" s="68"/>
      <c r="E163" s="69"/>
      <c r="F163" s="70"/>
      <c r="G163" s="67"/>
      <c r="H163" s="71"/>
      <c r="I163" s="72"/>
      <c r="J163" s="72"/>
      <c r="K163" s="35"/>
      <c r="L163" s="80">
        <v>163</v>
      </c>
      <c r="M163" s="80"/>
      <c r="N163" s="74"/>
      <c r="O163" s="82" t="s">
        <v>909</v>
      </c>
      <c r="P163" s="82" t="s">
        <v>197</v>
      </c>
      <c r="Q163" s="85" t="s">
        <v>1070</v>
      </c>
      <c r="R163" s="82" t="s">
        <v>359</v>
      </c>
      <c r="S163" s="82" t="s">
        <v>1825</v>
      </c>
      <c r="T163" s="87" t="str">
        <f>HYPERLINK("http://www.youtube.com/channel/UC-GeDtEqCloOTEKa_zWwdVw")</f>
        <v>http://www.youtube.com/channel/UC-GeDtEqCloOTEKa_zWwdVw</v>
      </c>
      <c r="U163" s="82"/>
      <c r="V163" s="82" t="s">
        <v>2366</v>
      </c>
      <c r="W163" s="87" t="str">
        <f>HYPERLINK("https://www.youtube.com/watch?v=sgOEGKDVvsg")</f>
        <v>https://www.youtube.com/watch?v=sgOEGKDVvsg</v>
      </c>
      <c r="X163" s="82" t="s">
        <v>2384</v>
      </c>
      <c r="Y163" s="82">
        <v>1</v>
      </c>
      <c r="Z163" s="89">
        <v>45256.14371527778</v>
      </c>
      <c r="AA163" s="89">
        <v>45256.14371527778</v>
      </c>
      <c r="AB163" s="82"/>
      <c r="AC163" s="82"/>
      <c r="AD163" s="85" t="s">
        <v>2423</v>
      </c>
      <c r="AE163" s="84" t="str">
        <f>REPLACE(INDEX(GroupVertices[Group],MATCH("~"&amp;Edges[[#This Row],[Vertex 1]],GroupVertices[Vertex],0)),1,1,"")</f>
        <v>7</v>
      </c>
      <c r="AF163" s="84" t="str">
        <f>REPLACE(INDEX(GroupVertices[Group],MATCH("~"&amp;Edges[[#This Row],[Vertex 2]],GroupVertices[Vertex],0)),1,1,"")</f>
        <v>7</v>
      </c>
    </row>
    <row r="164" spans="1:32" ht="15">
      <c r="A164" s="66" t="s">
        <v>359</v>
      </c>
      <c r="B164" s="66" t="s">
        <v>902</v>
      </c>
      <c r="C164" s="67"/>
      <c r="D164" s="68"/>
      <c r="E164" s="69"/>
      <c r="F164" s="70"/>
      <c r="G164" s="67"/>
      <c r="H164" s="71"/>
      <c r="I164" s="72"/>
      <c r="J164" s="72"/>
      <c r="K164" s="35"/>
      <c r="L164" s="80">
        <v>164</v>
      </c>
      <c r="M164" s="80"/>
      <c r="N164" s="74"/>
      <c r="O164" s="82" t="s">
        <v>909</v>
      </c>
      <c r="P164" s="82" t="s">
        <v>197</v>
      </c>
      <c r="Q164" s="85" t="s">
        <v>1071</v>
      </c>
      <c r="R164" s="82" t="s">
        <v>359</v>
      </c>
      <c r="S164" s="82" t="s">
        <v>1825</v>
      </c>
      <c r="T164" s="87" t="str">
        <f>HYPERLINK("http://www.youtube.com/channel/UC-GeDtEqCloOTEKa_zWwdVw")</f>
        <v>http://www.youtube.com/channel/UC-GeDtEqCloOTEKa_zWwdVw</v>
      </c>
      <c r="U164" s="82"/>
      <c r="V164" s="82" t="s">
        <v>2369</v>
      </c>
      <c r="W164" s="87" t="str">
        <f aca="true" t="shared" si="6" ref="W164:W194">HYPERLINK("https://www.youtube.com/watch?v=E39neWnw9AA")</f>
        <v>https://www.youtube.com/watch?v=E39neWnw9AA</v>
      </c>
      <c r="X164" s="82" t="s">
        <v>2384</v>
      </c>
      <c r="Y164" s="82">
        <v>0</v>
      </c>
      <c r="Z164" s="89">
        <v>45261.287083333336</v>
      </c>
      <c r="AA164" s="89">
        <v>45261.287083333336</v>
      </c>
      <c r="AB164" s="82"/>
      <c r="AC164" s="82"/>
      <c r="AD164" s="85" t="s">
        <v>2423</v>
      </c>
      <c r="AE164" s="84" t="str">
        <f>REPLACE(INDEX(GroupVertices[Group],MATCH("~"&amp;Edges[[#This Row],[Vertex 1]],GroupVertices[Vertex],0)),1,1,"")</f>
        <v>7</v>
      </c>
      <c r="AF164" s="84" t="str">
        <f>REPLACE(INDEX(GroupVertices[Group],MATCH("~"&amp;Edges[[#This Row],[Vertex 2]],GroupVertices[Vertex],0)),1,1,"")</f>
        <v>4</v>
      </c>
    </row>
    <row r="165" spans="1:32" ht="15">
      <c r="A165" s="66" t="s">
        <v>360</v>
      </c>
      <c r="B165" s="66" t="s">
        <v>902</v>
      </c>
      <c r="C165" s="67"/>
      <c r="D165" s="68"/>
      <c r="E165" s="69"/>
      <c r="F165" s="70"/>
      <c r="G165" s="67"/>
      <c r="H165" s="71"/>
      <c r="I165" s="72"/>
      <c r="J165" s="72"/>
      <c r="K165" s="35"/>
      <c r="L165" s="80">
        <v>165</v>
      </c>
      <c r="M165" s="80"/>
      <c r="N165" s="74"/>
      <c r="O165" s="82" t="s">
        <v>909</v>
      </c>
      <c r="P165" s="82" t="s">
        <v>197</v>
      </c>
      <c r="Q165" s="85" t="s">
        <v>1072</v>
      </c>
      <c r="R165" s="82" t="s">
        <v>360</v>
      </c>
      <c r="S165" s="82" t="s">
        <v>1826</v>
      </c>
      <c r="T165" s="87" t="str">
        <f>HYPERLINK("http://www.youtube.com/channel/UCGXzZg1hn6c2PdX_KZ6hOqQ")</f>
        <v>http://www.youtube.com/channel/UCGXzZg1hn6c2PdX_KZ6hOqQ</v>
      </c>
      <c r="U165" s="82"/>
      <c r="V165" s="82" t="s">
        <v>2369</v>
      </c>
      <c r="W165" s="87" t="str">
        <f t="shared" si="6"/>
        <v>https://www.youtube.com/watch?v=E39neWnw9AA</v>
      </c>
      <c r="X165" s="82" t="s">
        <v>2384</v>
      </c>
      <c r="Y165" s="82">
        <v>0</v>
      </c>
      <c r="Z165" s="89">
        <v>45261.31162037037</v>
      </c>
      <c r="AA165" s="89">
        <v>45261.31162037037</v>
      </c>
      <c r="AB165" s="82"/>
      <c r="AC165" s="82"/>
      <c r="AD165" s="85" t="s">
        <v>2423</v>
      </c>
      <c r="AE165" s="84" t="str">
        <f>REPLACE(INDEX(GroupVertices[Group],MATCH("~"&amp;Edges[[#This Row],[Vertex 1]],GroupVertices[Vertex],0)),1,1,"")</f>
        <v>4</v>
      </c>
      <c r="AF165" s="84" t="str">
        <f>REPLACE(INDEX(GroupVertices[Group],MATCH("~"&amp;Edges[[#This Row],[Vertex 2]],GroupVertices[Vertex],0)),1,1,"")</f>
        <v>4</v>
      </c>
    </row>
    <row r="166" spans="1:32" ht="15">
      <c r="A166" s="66" t="s">
        <v>361</v>
      </c>
      <c r="B166" s="66" t="s">
        <v>902</v>
      </c>
      <c r="C166" s="67"/>
      <c r="D166" s="68"/>
      <c r="E166" s="69"/>
      <c r="F166" s="70"/>
      <c r="G166" s="67"/>
      <c r="H166" s="71"/>
      <c r="I166" s="72"/>
      <c r="J166" s="72"/>
      <c r="K166" s="35"/>
      <c r="L166" s="80">
        <v>166</v>
      </c>
      <c r="M166" s="80"/>
      <c r="N166" s="74"/>
      <c r="O166" s="82" t="s">
        <v>909</v>
      </c>
      <c r="P166" s="82" t="s">
        <v>197</v>
      </c>
      <c r="Q166" s="85" t="s">
        <v>1073</v>
      </c>
      <c r="R166" s="82" t="s">
        <v>361</v>
      </c>
      <c r="S166" s="82" t="s">
        <v>1827</v>
      </c>
      <c r="T166" s="87" t="str">
        <f>HYPERLINK("http://www.youtube.com/channel/UCRQI3Qn1kt7r0eh6OjmUWfQ")</f>
        <v>http://www.youtube.com/channel/UCRQI3Qn1kt7r0eh6OjmUWfQ</v>
      </c>
      <c r="U166" s="82"/>
      <c r="V166" s="82" t="s">
        <v>2369</v>
      </c>
      <c r="W166" s="87" t="str">
        <f t="shared" si="6"/>
        <v>https://www.youtube.com/watch?v=E39neWnw9AA</v>
      </c>
      <c r="X166" s="82" t="s">
        <v>2384</v>
      </c>
      <c r="Y166" s="82">
        <v>0</v>
      </c>
      <c r="Z166" s="89">
        <v>45261.32809027778</v>
      </c>
      <c r="AA166" s="89">
        <v>45261.32809027778</v>
      </c>
      <c r="AB166" s="82"/>
      <c r="AC166" s="82"/>
      <c r="AD166" s="85" t="s">
        <v>2423</v>
      </c>
      <c r="AE166" s="84" t="str">
        <f>REPLACE(INDEX(GroupVertices[Group],MATCH("~"&amp;Edges[[#This Row],[Vertex 1]],GroupVertices[Vertex],0)),1,1,"")</f>
        <v>4</v>
      </c>
      <c r="AF166" s="84" t="str">
        <f>REPLACE(INDEX(GroupVertices[Group],MATCH("~"&amp;Edges[[#This Row],[Vertex 2]],GroupVertices[Vertex],0)),1,1,"")</f>
        <v>4</v>
      </c>
    </row>
    <row r="167" spans="1:32" ht="15">
      <c r="A167" s="66" t="s">
        <v>362</v>
      </c>
      <c r="B167" s="66" t="s">
        <v>902</v>
      </c>
      <c r="C167" s="67"/>
      <c r="D167" s="68"/>
      <c r="E167" s="69"/>
      <c r="F167" s="70"/>
      <c r="G167" s="67"/>
      <c r="H167" s="71"/>
      <c r="I167" s="72"/>
      <c r="J167" s="72"/>
      <c r="K167" s="35"/>
      <c r="L167" s="80">
        <v>167</v>
      </c>
      <c r="M167" s="80"/>
      <c r="N167" s="74"/>
      <c r="O167" s="82" t="s">
        <v>909</v>
      </c>
      <c r="P167" s="82" t="s">
        <v>197</v>
      </c>
      <c r="Q167" s="85" t="s">
        <v>1074</v>
      </c>
      <c r="R167" s="82" t="s">
        <v>362</v>
      </c>
      <c r="S167" s="82" t="s">
        <v>1828</v>
      </c>
      <c r="T167" s="87" t="str">
        <f>HYPERLINK("http://www.youtube.com/channel/UCaDCQcDDEt-ps-zmSAAOLxw")</f>
        <v>http://www.youtube.com/channel/UCaDCQcDDEt-ps-zmSAAOLxw</v>
      </c>
      <c r="U167" s="82"/>
      <c r="V167" s="82" t="s">
        <v>2369</v>
      </c>
      <c r="W167" s="87" t="str">
        <f t="shared" si="6"/>
        <v>https://www.youtube.com/watch?v=E39neWnw9AA</v>
      </c>
      <c r="X167" s="82" t="s">
        <v>2384</v>
      </c>
      <c r="Y167" s="82">
        <v>0</v>
      </c>
      <c r="Z167" s="89">
        <v>45261.33526620371</v>
      </c>
      <c r="AA167" s="89">
        <v>45261.33526620371</v>
      </c>
      <c r="AB167" s="82"/>
      <c r="AC167" s="82"/>
      <c r="AD167" s="85" t="s">
        <v>2423</v>
      </c>
      <c r="AE167" s="84" t="str">
        <f>REPLACE(INDEX(GroupVertices[Group],MATCH("~"&amp;Edges[[#This Row],[Vertex 1]],GroupVertices[Vertex],0)),1,1,"")</f>
        <v>4</v>
      </c>
      <c r="AF167" s="84" t="str">
        <f>REPLACE(INDEX(GroupVertices[Group],MATCH("~"&amp;Edges[[#This Row],[Vertex 2]],GroupVertices[Vertex],0)),1,1,"")</f>
        <v>4</v>
      </c>
    </row>
    <row r="168" spans="1:32" ht="15">
      <c r="A168" s="66" t="s">
        <v>363</v>
      </c>
      <c r="B168" s="66" t="s">
        <v>902</v>
      </c>
      <c r="C168" s="67"/>
      <c r="D168" s="68"/>
      <c r="E168" s="69"/>
      <c r="F168" s="70"/>
      <c r="G168" s="67"/>
      <c r="H168" s="71"/>
      <c r="I168" s="72"/>
      <c r="J168" s="72"/>
      <c r="K168" s="35"/>
      <c r="L168" s="80">
        <v>168</v>
      </c>
      <c r="M168" s="80"/>
      <c r="N168" s="74"/>
      <c r="O168" s="82" t="s">
        <v>909</v>
      </c>
      <c r="P168" s="82" t="s">
        <v>197</v>
      </c>
      <c r="Q168" s="85" t="s">
        <v>1075</v>
      </c>
      <c r="R168" s="82" t="s">
        <v>363</v>
      </c>
      <c r="S168" s="82" t="s">
        <v>1829</v>
      </c>
      <c r="T168" s="87" t="str">
        <f>HYPERLINK("http://www.youtube.com/channel/UC7Hv3XOnlC6p4y2jJDxPF_w")</f>
        <v>http://www.youtube.com/channel/UC7Hv3XOnlC6p4y2jJDxPF_w</v>
      </c>
      <c r="U168" s="82"/>
      <c r="V168" s="82" t="s">
        <v>2369</v>
      </c>
      <c r="W168" s="87" t="str">
        <f t="shared" si="6"/>
        <v>https://www.youtube.com/watch?v=E39neWnw9AA</v>
      </c>
      <c r="X168" s="82" t="s">
        <v>2384</v>
      </c>
      <c r="Y168" s="82">
        <v>0</v>
      </c>
      <c r="Z168" s="89">
        <v>45261.41784722222</v>
      </c>
      <c r="AA168" s="89">
        <v>45261.41784722222</v>
      </c>
      <c r="AB168" s="82"/>
      <c r="AC168" s="82"/>
      <c r="AD168" s="85" t="s">
        <v>2423</v>
      </c>
      <c r="AE168" s="84" t="str">
        <f>REPLACE(INDEX(GroupVertices[Group],MATCH("~"&amp;Edges[[#This Row],[Vertex 1]],GroupVertices[Vertex],0)),1,1,"")</f>
        <v>4</v>
      </c>
      <c r="AF168" s="84" t="str">
        <f>REPLACE(INDEX(GroupVertices[Group],MATCH("~"&amp;Edges[[#This Row],[Vertex 2]],GroupVertices[Vertex],0)),1,1,"")</f>
        <v>4</v>
      </c>
    </row>
    <row r="169" spans="1:32" ht="15">
      <c r="A169" s="66" t="s">
        <v>364</v>
      </c>
      <c r="B169" s="66" t="s">
        <v>902</v>
      </c>
      <c r="C169" s="67"/>
      <c r="D169" s="68"/>
      <c r="E169" s="69"/>
      <c r="F169" s="70"/>
      <c r="G169" s="67"/>
      <c r="H169" s="71"/>
      <c r="I169" s="72"/>
      <c r="J169" s="72"/>
      <c r="K169" s="35"/>
      <c r="L169" s="80">
        <v>169</v>
      </c>
      <c r="M169" s="80"/>
      <c r="N169" s="74"/>
      <c r="O169" s="82" t="s">
        <v>909</v>
      </c>
      <c r="P169" s="82" t="s">
        <v>197</v>
      </c>
      <c r="Q169" s="85" t="s">
        <v>1076</v>
      </c>
      <c r="R169" s="82" t="s">
        <v>364</v>
      </c>
      <c r="S169" s="82" t="s">
        <v>1830</v>
      </c>
      <c r="T169" s="87" t="str">
        <f>HYPERLINK("http://www.youtube.com/channel/UCjwlv0FFnz318DMA_wr2LWQ")</f>
        <v>http://www.youtube.com/channel/UCjwlv0FFnz318DMA_wr2LWQ</v>
      </c>
      <c r="U169" s="82"/>
      <c r="V169" s="82" t="s">
        <v>2369</v>
      </c>
      <c r="W169" s="87" t="str">
        <f t="shared" si="6"/>
        <v>https://www.youtube.com/watch?v=E39neWnw9AA</v>
      </c>
      <c r="X169" s="82" t="s">
        <v>2384</v>
      </c>
      <c r="Y169" s="82">
        <v>0</v>
      </c>
      <c r="Z169" s="89">
        <v>45261.4215625</v>
      </c>
      <c r="AA169" s="89">
        <v>45261.4215625</v>
      </c>
      <c r="AB169" s="82"/>
      <c r="AC169" s="82"/>
      <c r="AD169" s="85" t="s">
        <v>2423</v>
      </c>
      <c r="AE169" s="84" t="str">
        <f>REPLACE(INDEX(GroupVertices[Group],MATCH("~"&amp;Edges[[#This Row],[Vertex 1]],GroupVertices[Vertex],0)),1,1,"")</f>
        <v>4</v>
      </c>
      <c r="AF169" s="84" t="str">
        <f>REPLACE(INDEX(GroupVertices[Group],MATCH("~"&amp;Edges[[#This Row],[Vertex 2]],GroupVertices[Vertex],0)),1,1,"")</f>
        <v>4</v>
      </c>
    </row>
    <row r="170" spans="1:32" ht="15">
      <c r="A170" s="66" t="s">
        <v>365</v>
      </c>
      <c r="B170" s="66" t="s">
        <v>902</v>
      </c>
      <c r="C170" s="67"/>
      <c r="D170" s="68"/>
      <c r="E170" s="69"/>
      <c r="F170" s="70"/>
      <c r="G170" s="67"/>
      <c r="H170" s="71"/>
      <c r="I170" s="72"/>
      <c r="J170" s="72"/>
      <c r="K170" s="35"/>
      <c r="L170" s="80">
        <v>170</v>
      </c>
      <c r="M170" s="80"/>
      <c r="N170" s="74"/>
      <c r="O170" s="82" t="s">
        <v>909</v>
      </c>
      <c r="P170" s="82" t="s">
        <v>197</v>
      </c>
      <c r="Q170" s="85" t="s">
        <v>1077</v>
      </c>
      <c r="R170" s="82" t="s">
        <v>365</v>
      </c>
      <c r="S170" s="82" t="s">
        <v>1831</v>
      </c>
      <c r="T170" s="87" t="str">
        <f>HYPERLINK("http://www.youtube.com/channel/UCNyC_QT3YMT5CsEJKjWYKww")</f>
        <v>http://www.youtube.com/channel/UCNyC_QT3YMT5CsEJKjWYKww</v>
      </c>
      <c r="U170" s="82"/>
      <c r="V170" s="82" t="s">
        <v>2369</v>
      </c>
      <c r="W170" s="87" t="str">
        <f t="shared" si="6"/>
        <v>https://www.youtube.com/watch?v=E39neWnw9AA</v>
      </c>
      <c r="X170" s="82" t="s">
        <v>2384</v>
      </c>
      <c r="Y170" s="82">
        <v>0</v>
      </c>
      <c r="Z170" s="89">
        <v>45261.461388888885</v>
      </c>
      <c r="AA170" s="89">
        <v>45261.461388888885</v>
      </c>
      <c r="AB170" s="82"/>
      <c r="AC170" s="82"/>
      <c r="AD170" s="85" t="s">
        <v>2423</v>
      </c>
      <c r="AE170" s="84" t="str">
        <f>REPLACE(INDEX(GroupVertices[Group],MATCH("~"&amp;Edges[[#This Row],[Vertex 1]],GroupVertices[Vertex],0)),1,1,"")</f>
        <v>4</v>
      </c>
      <c r="AF170" s="84" t="str">
        <f>REPLACE(INDEX(GroupVertices[Group],MATCH("~"&amp;Edges[[#This Row],[Vertex 2]],GroupVertices[Vertex],0)),1,1,"")</f>
        <v>4</v>
      </c>
    </row>
    <row r="171" spans="1:32" ht="15">
      <c r="A171" s="66" t="s">
        <v>366</v>
      </c>
      <c r="B171" s="66" t="s">
        <v>902</v>
      </c>
      <c r="C171" s="67"/>
      <c r="D171" s="68"/>
      <c r="E171" s="69"/>
      <c r="F171" s="70"/>
      <c r="G171" s="67"/>
      <c r="H171" s="71"/>
      <c r="I171" s="72"/>
      <c r="J171" s="72"/>
      <c r="K171" s="35"/>
      <c r="L171" s="80">
        <v>171</v>
      </c>
      <c r="M171" s="80"/>
      <c r="N171" s="74"/>
      <c r="O171" s="82" t="s">
        <v>909</v>
      </c>
      <c r="P171" s="82" t="s">
        <v>197</v>
      </c>
      <c r="Q171" s="85" t="s">
        <v>1078</v>
      </c>
      <c r="R171" s="82" t="s">
        <v>366</v>
      </c>
      <c r="S171" s="82" t="s">
        <v>1832</v>
      </c>
      <c r="T171" s="87" t="str">
        <f>HYPERLINK("http://www.youtube.com/channel/UCFPKhrduCQk6HoptZ0L-AYg")</f>
        <v>http://www.youtube.com/channel/UCFPKhrduCQk6HoptZ0L-AYg</v>
      </c>
      <c r="U171" s="82"/>
      <c r="V171" s="82" t="s">
        <v>2369</v>
      </c>
      <c r="W171" s="87" t="str">
        <f t="shared" si="6"/>
        <v>https://www.youtube.com/watch?v=E39neWnw9AA</v>
      </c>
      <c r="X171" s="82" t="s">
        <v>2384</v>
      </c>
      <c r="Y171" s="82">
        <v>0</v>
      </c>
      <c r="Z171" s="89">
        <v>45261.47913194444</v>
      </c>
      <c r="AA171" s="89">
        <v>45261.47913194444</v>
      </c>
      <c r="AB171" s="82"/>
      <c r="AC171" s="82"/>
      <c r="AD171" s="85" t="s">
        <v>2423</v>
      </c>
      <c r="AE171" s="84" t="str">
        <f>REPLACE(INDEX(GroupVertices[Group],MATCH("~"&amp;Edges[[#This Row],[Vertex 1]],GroupVertices[Vertex],0)),1,1,"")</f>
        <v>4</v>
      </c>
      <c r="AF171" s="84" t="str">
        <f>REPLACE(INDEX(GroupVertices[Group],MATCH("~"&amp;Edges[[#This Row],[Vertex 2]],GroupVertices[Vertex],0)),1,1,"")</f>
        <v>4</v>
      </c>
    </row>
    <row r="172" spans="1:32" ht="15">
      <c r="A172" s="66" t="s">
        <v>367</v>
      </c>
      <c r="B172" s="66" t="s">
        <v>902</v>
      </c>
      <c r="C172" s="67"/>
      <c r="D172" s="68"/>
      <c r="E172" s="69"/>
      <c r="F172" s="70"/>
      <c r="G172" s="67"/>
      <c r="H172" s="71"/>
      <c r="I172" s="72"/>
      <c r="J172" s="72"/>
      <c r="K172" s="35"/>
      <c r="L172" s="80">
        <v>172</v>
      </c>
      <c r="M172" s="80"/>
      <c r="N172" s="74"/>
      <c r="O172" s="82" t="s">
        <v>909</v>
      </c>
      <c r="P172" s="82" t="s">
        <v>197</v>
      </c>
      <c r="Q172" s="85" t="s">
        <v>1079</v>
      </c>
      <c r="R172" s="82" t="s">
        <v>367</v>
      </c>
      <c r="S172" s="82" t="s">
        <v>1833</v>
      </c>
      <c r="T172" s="87" t="str">
        <f>HYPERLINK("http://www.youtube.com/channel/UCCo9fE29CyHVh9HFiT6ddaw")</f>
        <v>http://www.youtube.com/channel/UCCo9fE29CyHVh9HFiT6ddaw</v>
      </c>
      <c r="U172" s="82"/>
      <c r="V172" s="82" t="s">
        <v>2369</v>
      </c>
      <c r="W172" s="87" t="str">
        <f t="shared" si="6"/>
        <v>https://www.youtube.com/watch?v=E39neWnw9AA</v>
      </c>
      <c r="X172" s="82" t="s">
        <v>2384</v>
      </c>
      <c r="Y172" s="82">
        <v>0</v>
      </c>
      <c r="Z172" s="89">
        <v>45261.48273148148</v>
      </c>
      <c r="AA172" s="89">
        <v>45261.48273148148</v>
      </c>
      <c r="AB172" s="82"/>
      <c r="AC172" s="82"/>
      <c r="AD172" s="85" t="s">
        <v>2423</v>
      </c>
      <c r="AE172" s="84" t="str">
        <f>REPLACE(INDEX(GroupVertices[Group],MATCH("~"&amp;Edges[[#This Row],[Vertex 1]],GroupVertices[Vertex],0)),1,1,"")</f>
        <v>4</v>
      </c>
      <c r="AF172" s="84" t="str">
        <f>REPLACE(INDEX(GroupVertices[Group],MATCH("~"&amp;Edges[[#This Row],[Vertex 2]],GroupVertices[Vertex],0)),1,1,"")</f>
        <v>4</v>
      </c>
    </row>
    <row r="173" spans="1:32" ht="15">
      <c r="A173" s="66" t="s">
        <v>368</v>
      </c>
      <c r="B173" s="66" t="s">
        <v>902</v>
      </c>
      <c r="C173" s="67"/>
      <c r="D173" s="68"/>
      <c r="E173" s="69"/>
      <c r="F173" s="70"/>
      <c r="G173" s="67"/>
      <c r="H173" s="71"/>
      <c r="I173" s="72"/>
      <c r="J173" s="72"/>
      <c r="K173" s="35"/>
      <c r="L173" s="80">
        <v>173</v>
      </c>
      <c r="M173" s="80"/>
      <c r="N173" s="74"/>
      <c r="O173" s="82" t="s">
        <v>909</v>
      </c>
      <c r="P173" s="82" t="s">
        <v>197</v>
      </c>
      <c r="Q173" s="85" t="s">
        <v>1080</v>
      </c>
      <c r="R173" s="82" t="s">
        <v>368</v>
      </c>
      <c r="S173" s="82" t="s">
        <v>1834</v>
      </c>
      <c r="T173" s="87" t="str">
        <f>HYPERLINK("http://www.youtube.com/channel/UC4F2uxSzYF1LJlNcPvCFU-g")</f>
        <v>http://www.youtube.com/channel/UC4F2uxSzYF1LJlNcPvCFU-g</v>
      </c>
      <c r="U173" s="82"/>
      <c r="V173" s="82" t="s">
        <v>2369</v>
      </c>
      <c r="W173" s="87" t="str">
        <f t="shared" si="6"/>
        <v>https://www.youtube.com/watch?v=E39neWnw9AA</v>
      </c>
      <c r="X173" s="82" t="s">
        <v>2384</v>
      </c>
      <c r="Y173" s="82">
        <v>0</v>
      </c>
      <c r="Z173" s="89">
        <v>45261.57114583333</v>
      </c>
      <c r="AA173" s="89">
        <v>45261.57114583333</v>
      </c>
      <c r="AB173" s="82"/>
      <c r="AC173" s="82"/>
      <c r="AD173" s="85" t="s">
        <v>2423</v>
      </c>
      <c r="AE173" s="84" t="str">
        <f>REPLACE(INDEX(GroupVertices[Group],MATCH("~"&amp;Edges[[#This Row],[Vertex 1]],GroupVertices[Vertex],0)),1,1,"")</f>
        <v>4</v>
      </c>
      <c r="AF173" s="84" t="str">
        <f>REPLACE(INDEX(GroupVertices[Group],MATCH("~"&amp;Edges[[#This Row],[Vertex 2]],GroupVertices[Vertex],0)),1,1,"")</f>
        <v>4</v>
      </c>
    </row>
    <row r="174" spans="1:32" ht="15">
      <c r="A174" s="66" t="s">
        <v>369</v>
      </c>
      <c r="B174" s="66" t="s">
        <v>902</v>
      </c>
      <c r="C174" s="67"/>
      <c r="D174" s="68"/>
      <c r="E174" s="69"/>
      <c r="F174" s="70"/>
      <c r="G174" s="67"/>
      <c r="H174" s="71"/>
      <c r="I174" s="72"/>
      <c r="J174" s="72"/>
      <c r="K174" s="35"/>
      <c r="L174" s="80">
        <v>174</v>
      </c>
      <c r="M174" s="80"/>
      <c r="N174" s="74"/>
      <c r="O174" s="82" t="s">
        <v>909</v>
      </c>
      <c r="P174" s="82" t="s">
        <v>197</v>
      </c>
      <c r="Q174" s="85" t="s">
        <v>1081</v>
      </c>
      <c r="R174" s="82" t="s">
        <v>369</v>
      </c>
      <c r="S174" s="82" t="s">
        <v>1835</v>
      </c>
      <c r="T174" s="87" t="str">
        <f>HYPERLINK("http://www.youtube.com/channel/UCZ25_b3P3gJcMAVigVqZ_xg")</f>
        <v>http://www.youtube.com/channel/UCZ25_b3P3gJcMAVigVqZ_xg</v>
      </c>
      <c r="U174" s="82"/>
      <c r="V174" s="82" t="s">
        <v>2369</v>
      </c>
      <c r="W174" s="87" t="str">
        <f t="shared" si="6"/>
        <v>https://www.youtube.com/watch?v=E39neWnw9AA</v>
      </c>
      <c r="X174" s="82" t="s">
        <v>2384</v>
      </c>
      <c r="Y174" s="82">
        <v>0</v>
      </c>
      <c r="Z174" s="89">
        <v>45261.611354166664</v>
      </c>
      <c r="AA174" s="89">
        <v>45261.611354166664</v>
      </c>
      <c r="AB174" s="82"/>
      <c r="AC174" s="82"/>
      <c r="AD174" s="85" t="s">
        <v>2423</v>
      </c>
      <c r="AE174" s="84" t="str">
        <f>REPLACE(INDEX(GroupVertices[Group],MATCH("~"&amp;Edges[[#This Row],[Vertex 1]],GroupVertices[Vertex],0)),1,1,"")</f>
        <v>4</v>
      </c>
      <c r="AF174" s="84" t="str">
        <f>REPLACE(INDEX(GroupVertices[Group],MATCH("~"&amp;Edges[[#This Row],[Vertex 2]],GroupVertices[Vertex],0)),1,1,"")</f>
        <v>4</v>
      </c>
    </row>
    <row r="175" spans="1:32" ht="15">
      <c r="A175" s="66" t="s">
        <v>370</v>
      </c>
      <c r="B175" s="66" t="s">
        <v>902</v>
      </c>
      <c r="C175" s="67"/>
      <c r="D175" s="68"/>
      <c r="E175" s="69"/>
      <c r="F175" s="70"/>
      <c r="G175" s="67"/>
      <c r="H175" s="71"/>
      <c r="I175" s="72"/>
      <c r="J175" s="72"/>
      <c r="K175" s="35"/>
      <c r="L175" s="80">
        <v>175</v>
      </c>
      <c r="M175" s="80"/>
      <c r="N175" s="74"/>
      <c r="O175" s="82" t="s">
        <v>909</v>
      </c>
      <c r="P175" s="82" t="s">
        <v>197</v>
      </c>
      <c r="Q175" s="85" t="s">
        <v>1082</v>
      </c>
      <c r="R175" s="82" t="s">
        <v>370</v>
      </c>
      <c r="S175" s="82" t="s">
        <v>1836</v>
      </c>
      <c r="T175" s="87" t="str">
        <f>HYPERLINK("http://www.youtube.com/channel/UCC3tqYw2EC2sJJB9dstJukQ")</f>
        <v>http://www.youtube.com/channel/UCC3tqYw2EC2sJJB9dstJukQ</v>
      </c>
      <c r="U175" s="82"/>
      <c r="V175" s="82" t="s">
        <v>2369</v>
      </c>
      <c r="W175" s="87" t="str">
        <f t="shared" si="6"/>
        <v>https://www.youtube.com/watch?v=E39neWnw9AA</v>
      </c>
      <c r="X175" s="82" t="s">
        <v>2384</v>
      </c>
      <c r="Y175" s="82">
        <v>0</v>
      </c>
      <c r="Z175" s="89">
        <v>45261.66641203704</v>
      </c>
      <c r="AA175" s="89">
        <v>45261.66641203704</v>
      </c>
      <c r="AB175" s="82"/>
      <c r="AC175" s="82"/>
      <c r="AD175" s="85" t="s">
        <v>2423</v>
      </c>
      <c r="AE175" s="84" t="str">
        <f>REPLACE(INDEX(GroupVertices[Group],MATCH("~"&amp;Edges[[#This Row],[Vertex 1]],GroupVertices[Vertex],0)),1,1,"")</f>
        <v>4</v>
      </c>
      <c r="AF175" s="84" t="str">
        <f>REPLACE(INDEX(GroupVertices[Group],MATCH("~"&amp;Edges[[#This Row],[Vertex 2]],GroupVertices[Vertex],0)),1,1,"")</f>
        <v>4</v>
      </c>
    </row>
    <row r="176" spans="1:32" ht="15">
      <c r="A176" s="66" t="s">
        <v>371</v>
      </c>
      <c r="B176" s="66" t="s">
        <v>902</v>
      </c>
      <c r="C176" s="67"/>
      <c r="D176" s="68"/>
      <c r="E176" s="69"/>
      <c r="F176" s="70"/>
      <c r="G176" s="67"/>
      <c r="H176" s="71"/>
      <c r="I176" s="72"/>
      <c r="J176" s="72"/>
      <c r="K176" s="35"/>
      <c r="L176" s="80">
        <v>176</v>
      </c>
      <c r="M176" s="80"/>
      <c r="N176" s="74"/>
      <c r="O176" s="82" t="s">
        <v>909</v>
      </c>
      <c r="P176" s="82" t="s">
        <v>197</v>
      </c>
      <c r="Q176" s="85" t="s">
        <v>1083</v>
      </c>
      <c r="R176" s="82" t="s">
        <v>371</v>
      </c>
      <c r="S176" s="82" t="s">
        <v>1837</v>
      </c>
      <c r="T176" s="87" t="str">
        <f>HYPERLINK("http://www.youtube.com/channel/UCqP6kKRGEsoiRlh__LMUFQQ")</f>
        <v>http://www.youtube.com/channel/UCqP6kKRGEsoiRlh__LMUFQQ</v>
      </c>
      <c r="U176" s="82"/>
      <c r="V176" s="82" t="s">
        <v>2369</v>
      </c>
      <c r="W176" s="87" t="str">
        <f t="shared" si="6"/>
        <v>https://www.youtube.com/watch?v=E39neWnw9AA</v>
      </c>
      <c r="X176" s="82" t="s">
        <v>2384</v>
      </c>
      <c r="Y176" s="82">
        <v>2</v>
      </c>
      <c r="Z176" s="89">
        <v>45261.82711805555</v>
      </c>
      <c r="AA176" s="89">
        <v>45261.82711805555</v>
      </c>
      <c r="AB176" s="82"/>
      <c r="AC176" s="82"/>
      <c r="AD176" s="85" t="s">
        <v>2423</v>
      </c>
      <c r="AE176" s="84" t="str">
        <f>REPLACE(INDEX(GroupVertices[Group],MATCH("~"&amp;Edges[[#This Row],[Vertex 1]],GroupVertices[Vertex],0)),1,1,"")</f>
        <v>4</v>
      </c>
      <c r="AF176" s="84" t="str">
        <f>REPLACE(INDEX(GroupVertices[Group],MATCH("~"&amp;Edges[[#This Row],[Vertex 2]],GroupVertices[Vertex],0)),1,1,"")</f>
        <v>4</v>
      </c>
    </row>
    <row r="177" spans="1:32" ht="15">
      <c r="A177" s="66" t="s">
        <v>372</v>
      </c>
      <c r="B177" s="66" t="s">
        <v>902</v>
      </c>
      <c r="C177" s="67"/>
      <c r="D177" s="68"/>
      <c r="E177" s="69"/>
      <c r="F177" s="70"/>
      <c r="G177" s="67"/>
      <c r="H177" s="71"/>
      <c r="I177" s="72"/>
      <c r="J177" s="72"/>
      <c r="K177" s="35"/>
      <c r="L177" s="80">
        <v>177</v>
      </c>
      <c r="M177" s="80"/>
      <c r="N177" s="74"/>
      <c r="O177" s="82" t="s">
        <v>909</v>
      </c>
      <c r="P177" s="82" t="s">
        <v>197</v>
      </c>
      <c r="Q177" s="85" t="s">
        <v>1084</v>
      </c>
      <c r="R177" s="82" t="s">
        <v>372</v>
      </c>
      <c r="S177" s="82" t="s">
        <v>1838</v>
      </c>
      <c r="T177" s="87" t="str">
        <f>HYPERLINK("http://www.youtube.com/channel/UCnJjCc9m1GPnareHU6-MXmA")</f>
        <v>http://www.youtube.com/channel/UCnJjCc9m1GPnareHU6-MXmA</v>
      </c>
      <c r="U177" s="82"/>
      <c r="V177" s="82" t="s">
        <v>2369</v>
      </c>
      <c r="W177" s="87" t="str">
        <f t="shared" si="6"/>
        <v>https://www.youtube.com/watch?v=E39neWnw9AA</v>
      </c>
      <c r="X177" s="82" t="s">
        <v>2384</v>
      </c>
      <c r="Y177" s="82">
        <v>0</v>
      </c>
      <c r="Z177" s="89">
        <v>45261.840150462966</v>
      </c>
      <c r="AA177" s="89">
        <v>45261.840150462966</v>
      </c>
      <c r="AB177" s="82"/>
      <c r="AC177" s="82"/>
      <c r="AD177" s="85" t="s">
        <v>2423</v>
      </c>
      <c r="AE177" s="84" t="str">
        <f>REPLACE(INDEX(GroupVertices[Group],MATCH("~"&amp;Edges[[#This Row],[Vertex 1]],GroupVertices[Vertex],0)),1,1,"")</f>
        <v>4</v>
      </c>
      <c r="AF177" s="84" t="str">
        <f>REPLACE(INDEX(GroupVertices[Group],MATCH("~"&amp;Edges[[#This Row],[Vertex 2]],GroupVertices[Vertex],0)),1,1,"")</f>
        <v>4</v>
      </c>
    </row>
    <row r="178" spans="1:32" ht="15">
      <c r="A178" s="66" t="s">
        <v>373</v>
      </c>
      <c r="B178" s="66" t="s">
        <v>902</v>
      </c>
      <c r="C178" s="67"/>
      <c r="D178" s="68"/>
      <c r="E178" s="69"/>
      <c r="F178" s="70"/>
      <c r="G178" s="67"/>
      <c r="H178" s="71"/>
      <c r="I178" s="72"/>
      <c r="J178" s="72"/>
      <c r="K178" s="35"/>
      <c r="L178" s="80">
        <v>178</v>
      </c>
      <c r="M178" s="80"/>
      <c r="N178" s="74"/>
      <c r="O178" s="82" t="s">
        <v>909</v>
      </c>
      <c r="P178" s="82" t="s">
        <v>197</v>
      </c>
      <c r="Q178" s="85" t="s">
        <v>1085</v>
      </c>
      <c r="R178" s="82" t="s">
        <v>373</v>
      </c>
      <c r="S178" s="82" t="s">
        <v>1839</v>
      </c>
      <c r="T178" s="87" t="str">
        <f>HYPERLINK("http://www.youtube.com/channel/UC5zFejAVHMpIF4a4uWuBa-A")</f>
        <v>http://www.youtube.com/channel/UC5zFejAVHMpIF4a4uWuBa-A</v>
      </c>
      <c r="U178" s="82"/>
      <c r="V178" s="82" t="s">
        <v>2369</v>
      </c>
      <c r="W178" s="87" t="str">
        <f t="shared" si="6"/>
        <v>https://www.youtube.com/watch?v=E39neWnw9AA</v>
      </c>
      <c r="X178" s="82" t="s">
        <v>2384</v>
      </c>
      <c r="Y178" s="82">
        <v>0</v>
      </c>
      <c r="Z178" s="89">
        <v>45261.95177083334</v>
      </c>
      <c r="AA178" s="89">
        <v>45261.95177083334</v>
      </c>
      <c r="AB178" s="82"/>
      <c r="AC178" s="82"/>
      <c r="AD178" s="85" t="s">
        <v>2423</v>
      </c>
      <c r="AE178" s="84" t="str">
        <f>REPLACE(INDEX(GroupVertices[Group],MATCH("~"&amp;Edges[[#This Row],[Vertex 1]],GroupVertices[Vertex],0)),1,1,"")</f>
        <v>4</v>
      </c>
      <c r="AF178" s="84" t="str">
        <f>REPLACE(INDEX(GroupVertices[Group],MATCH("~"&amp;Edges[[#This Row],[Vertex 2]],GroupVertices[Vertex],0)),1,1,"")</f>
        <v>4</v>
      </c>
    </row>
    <row r="179" spans="1:32" ht="15">
      <c r="A179" s="66" t="s">
        <v>374</v>
      </c>
      <c r="B179" s="66" t="s">
        <v>902</v>
      </c>
      <c r="C179" s="67"/>
      <c r="D179" s="68"/>
      <c r="E179" s="69"/>
      <c r="F179" s="70"/>
      <c r="G179" s="67"/>
      <c r="H179" s="71"/>
      <c r="I179" s="72"/>
      <c r="J179" s="72"/>
      <c r="K179" s="35"/>
      <c r="L179" s="80">
        <v>179</v>
      </c>
      <c r="M179" s="80"/>
      <c r="N179" s="74"/>
      <c r="O179" s="82" t="s">
        <v>909</v>
      </c>
      <c r="P179" s="82" t="s">
        <v>197</v>
      </c>
      <c r="Q179" s="85" t="s">
        <v>1086</v>
      </c>
      <c r="R179" s="82" t="s">
        <v>374</v>
      </c>
      <c r="S179" s="82" t="s">
        <v>1840</v>
      </c>
      <c r="T179" s="87" t="str">
        <f>HYPERLINK("http://www.youtube.com/channel/UCZOk8X-OmWTGX4wM4jfhtZg")</f>
        <v>http://www.youtube.com/channel/UCZOk8X-OmWTGX4wM4jfhtZg</v>
      </c>
      <c r="U179" s="82"/>
      <c r="V179" s="82" t="s">
        <v>2369</v>
      </c>
      <c r="W179" s="87" t="str">
        <f t="shared" si="6"/>
        <v>https://www.youtube.com/watch?v=E39neWnw9AA</v>
      </c>
      <c r="X179" s="82" t="s">
        <v>2384</v>
      </c>
      <c r="Y179" s="82">
        <v>0</v>
      </c>
      <c r="Z179" s="89">
        <v>45262.10450231482</v>
      </c>
      <c r="AA179" s="89">
        <v>45262.10450231482</v>
      </c>
      <c r="AB179" s="82"/>
      <c r="AC179" s="82"/>
      <c r="AD179" s="85" t="s">
        <v>2423</v>
      </c>
      <c r="AE179" s="84" t="str">
        <f>REPLACE(INDEX(GroupVertices[Group],MATCH("~"&amp;Edges[[#This Row],[Vertex 1]],GroupVertices[Vertex],0)),1,1,"")</f>
        <v>4</v>
      </c>
      <c r="AF179" s="84" t="str">
        <f>REPLACE(INDEX(GroupVertices[Group],MATCH("~"&amp;Edges[[#This Row],[Vertex 2]],GroupVertices[Vertex],0)),1,1,"")</f>
        <v>4</v>
      </c>
    </row>
    <row r="180" spans="1:32" ht="15">
      <c r="A180" s="66" t="s">
        <v>375</v>
      </c>
      <c r="B180" s="66" t="s">
        <v>902</v>
      </c>
      <c r="C180" s="67"/>
      <c r="D180" s="68"/>
      <c r="E180" s="69"/>
      <c r="F180" s="70"/>
      <c r="G180" s="67"/>
      <c r="H180" s="71"/>
      <c r="I180" s="72"/>
      <c r="J180" s="72"/>
      <c r="K180" s="35"/>
      <c r="L180" s="80">
        <v>180</v>
      </c>
      <c r="M180" s="80"/>
      <c r="N180" s="74"/>
      <c r="O180" s="82" t="s">
        <v>909</v>
      </c>
      <c r="P180" s="82" t="s">
        <v>197</v>
      </c>
      <c r="Q180" s="85" t="s">
        <v>1087</v>
      </c>
      <c r="R180" s="82" t="s">
        <v>375</v>
      </c>
      <c r="S180" s="82" t="s">
        <v>1841</v>
      </c>
      <c r="T180" s="87" t="str">
        <f>HYPERLINK("http://www.youtube.com/channel/UCsF-ePuuMJXoM4pbckYct3g")</f>
        <v>http://www.youtube.com/channel/UCsF-ePuuMJXoM4pbckYct3g</v>
      </c>
      <c r="U180" s="82"/>
      <c r="V180" s="82" t="s">
        <v>2369</v>
      </c>
      <c r="W180" s="87" t="str">
        <f t="shared" si="6"/>
        <v>https://www.youtube.com/watch?v=E39neWnw9AA</v>
      </c>
      <c r="X180" s="82" t="s">
        <v>2384</v>
      </c>
      <c r="Y180" s="82">
        <v>0</v>
      </c>
      <c r="Z180" s="89">
        <v>45262.14989583333</v>
      </c>
      <c r="AA180" s="89">
        <v>45262.14989583333</v>
      </c>
      <c r="AB180" s="82"/>
      <c r="AC180" s="82"/>
      <c r="AD180" s="85" t="s">
        <v>2423</v>
      </c>
      <c r="AE180" s="84" t="str">
        <f>REPLACE(INDEX(GroupVertices[Group],MATCH("~"&amp;Edges[[#This Row],[Vertex 1]],GroupVertices[Vertex],0)),1,1,"")</f>
        <v>4</v>
      </c>
      <c r="AF180" s="84" t="str">
        <f>REPLACE(INDEX(GroupVertices[Group],MATCH("~"&amp;Edges[[#This Row],[Vertex 2]],GroupVertices[Vertex],0)),1,1,"")</f>
        <v>4</v>
      </c>
    </row>
    <row r="181" spans="1:32" ht="15">
      <c r="A181" s="66" t="s">
        <v>376</v>
      </c>
      <c r="B181" s="66" t="s">
        <v>902</v>
      </c>
      <c r="C181" s="67"/>
      <c r="D181" s="68"/>
      <c r="E181" s="69"/>
      <c r="F181" s="70"/>
      <c r="G181" s="67"/>
      <c r="H181" s="71"/>
      <c r="I181" s="72"/>
      <c r="J181" s="72"/>
      <c r="K181" s="35"/>
      <c r="L181" s="80">
        <v>181</v>
      </c>
      <c r="M181" s="80"/>
      <c r="N181" s="74"/>
      <c r="O181" s="82" t="s">
        <v>909</v>
      </c>
      <c r="P181" s="82" t="s">
        <v>197</v>
      </c>
      <c r="Q181" s="85" t="s">
        <v>1088</v>
      </c>
      <c r="R181" s="82" t="s">
        <v>376</v>
      </c>
      <c r="S181" s="82" t="s">
        <v>1842</v>
      </c>
      <c r="T181" s="87" t="str">
        <f>HYPERLINK("http://www.youtube.com/channel/UC7vLfMNaK8tQ17PT2QG_VHQ")</f>
        <v>http://www.youtube.com/channel/UC7vLfMNaK8tQ17PT2QG_VHQ</v>
      </c>
      <c r="U181" s="82"/>
      <c r="V181" s="82" t="s">
        <v>2369</v>
      </c>
      <c r="W181" s="87" t="str">
        <f t="shared" si="6"/>
        <v>https://www.youtube.com/watch?v=E39neWnw9AA</v>
      </c>
      <c r="X181" s="82" t="s">
        <v>2384</v>
      </c>
      <c r="Y181" s="82">
        <v>0</v>
      </c>
      <c r="Z181" s="89">
        <v>45262.18628472222</v>
      </c>
      <c r="AA181" s="89">
        <v>45262.18628472222</v>
      </c>
      <c r="AB181" s="82"/>
      <c r="AC181" s="82"/>
      <c r="AD181" s="85" t="s">
        <v>2423</v>
      </c>
      <c r="AE181" s="84" t="str">
        <f>REPLACE(INDEX(GroupVertices[Group],MATCH("~"&amp;Edges[[#This Row],[Vertex 1]],GroupVertices[Vertex],0)),1,1,"")</f>
        <v>4</v>
      </c>
      <c r="AF181" s="84" t="str">
        <f>REPLACE(INDEX(GroupVertices[Group],MATCH("~"&amp;Edges[[#This Row],[Vertex 2]],GroupVertices[Vertex],0)),1,1,"")</f>
        <v>4</v>
      </c>
    </row>
    <row r="182" spans="1:32" ht="15">
      <c r="A182" s="66" t="s">
        <v>377</v>
      </c>
      <c r="B182" s="66" t="s">
        <v>902</v>
      </c>
      <c r="C182" s="67"/>
      <c r="D182" s="68"/>
      <c r="E182" s="69"/>
      <c r="F182" s="70"/>
      <c r="G182" s="67"/>
      <c r="H182" s="71"/>
      <c r="I182" s="72"/>
      <c r="J182" s="72"/>
      <c r="K182" s="35"/>
      <c r="L182" s="80">
        <v>182</v>
      </c>
      <c r="M182" s="80"/>
      <c r="N182" s="74"/>
      <c r="O182" s="82" t="s">
        <v>909</v>
      </c>
      <c r="P182" s="82" t="s">
        <v>197</v>
      </c>
      <c r="Q182" s="85" t="s">
        <v>1089</v>
      </c>
      <c r="R182" s="82" t="s">
        <v>377</v>
      </c>
      <c r="S182" s="82" t="s">
        <v>1843</v>
      </c>
      <c r="T182" s="87" t="str">
        <f>HYPERLINK("http://www.youtube.com/channel/UClbPjfgMQLDGTTazvQRSt1A")</f>
        <v>http://www.youtube.com/channel/UClbPjfgMQLDGTTazvQRSt1A</v>
      </c>
      <c r="U182" s="82"/>
      <c r="V182" s="82" t="s">
        <v>2369</v>
      </c>
      <c r="W182" s="87" t="str">
        <f t="shared" si="6"/>
        <v>https://www.youtube.com/watch?v=E39neWnw9AA</v>
      </c>
      <c r="X182" s="82" t="s">
        <v>2384</v>
      </c>
      <c r="Y182" s="82">
        <v>0</v>
      </c>
      <c r="Z182" s="89">
        <v>45262.229050925926</v>
      </c>
      <c r="AA182" s="89">
        <v>45262.229050925926</v>
      </c>
      <c r="AB182" s="82"/>
      <c r="AC182" s="82"/>
      <c r="AD182" s="85" t="s">
        <v>2423</v>
      </c>
      <c r="AE182" s="84" t="str">
        <f>REPLACE(INDEX(GroupVertices[Group],MATCH("~"&amp;Edges[[#This Row],[Vertex 1]],GroupVertices[Vertex],0)),1,1,"")</f>
        <v>4</v>
      </c>
      <c r="AF182" s="84" t="str">
        <f>REPLACE(INDEX(GroupVertices[Group],MATCH("~"&amp;Edges[[#This Row],[Vertex 2]],GroupVertices[Vertex],0)),1,1,"")</f>
        <v>4</v>
      </c>
    </row>
    <row r="183" spans="1:32" ht="15">
      <c r="A183" s="66" t="s">
        <v>378</v>
      </c>
      <c r="B183" s="66" t="s">
        <v>902</v>
      </c>
      <c r="C183" s="67"/>
      <c r="D183" s="68"/>
      <c r="E183" s="69"/>
      <c r="F183" s="70"/>
      <c r="G183" s="67"/>
      <c r="H183" s="71"/>
      <c r="I183" s="72"/>
      <c r="J183" s="72"/>
      <c r="K183" s="35"/>
      <c r="L183" s="80">
        <v>183</v>
      </c>
      <c r="M183" s="80"/>
      <c r="N183" s="74"/>
      <c r="O183" s="82" t="s">
        <v>909</v>
      </c>
      <c r="P183" s="82" t="s">
        <v>197</v>
      </c>
      <c r="Q183" s="85" t="s">
        <v>1090</v>
      </c>
      <c r="R183" s="82" t="s">
        <v>378</v>
      </c>
      <c r="S183" s="82" t="s">
        <v>1844</v>
      </c>
      <c r="T183" s="87" t="str">
        <f>HYPERLINK("http://www.youtube.com/channel/UCYYBJMELN8ajZoe72bkjYyA")</f>
        <v>http://www.youtube.com/channel/UCYYBJMELN8ajZoe72bkjYyA</v>
      </c>
      <c r="U183" s="82"/>
      <c r="V183" s="82" t="s">
        <v>2369</v>
      </c>
      <c r="W183" s="87" t="str">
        <f t="shared" si="6"/>
        <v>https://www.youtube.com/watch?v=E39neWnw9AA</v>
      </c>
      <c r="X183" s="82" t="s">
        <v>2384</v>
      </c>
      <c r="Y183" s="82">
        <v>1</v>
      </c>
      <c r="Z183" s="89">
        <v>45262.25371527778</v>
      </c>
      <c r="AA183" s="89">
        <v>45262.25371527778</v>
      </c>
      <c r="AB183" s="82"/>
      <c r="AC183" s="82"/>
      <c r="AD183" s="85" t="s">
        <v>2423</v>
      </c>
      <c r="AE183" s="84" t="str">
        <f>REPLACE(INDEX(GroupVertices[Group],MATCH("~"&amp;Edges[[#This Row],[Vertex 1]],GroupVertices[Vertex],0)),1,1,"")</f>
        <v>4</v>
      </c>
      <c r="AF183" s="84" t="str">
        <f>REPLACE(INDEX(GroupVertices[Group],MATCH("~"&amp;Edges[[#This Row],[Vertex 2]],GroupVertices[Vertex],0)),1,1,"")</f>
        <v>4</v>
      </c>
    </row>
    <row r="184" spans="1:32" ht="15">
      <c r="A184" s="66" t="s">
        <v>379</v>
      </c>
      <c r="B184" s="66" t="s">
        <v>902</v>
      </c>
      <c r="C184" s="67"/>
      <c r="D184" s="68"/>
      <c r="E184" s="69"/>
      <c r="F184" s="70"/>
      <c r="G184" s="67"/>
      <c r="H184" s="71"/>
      <c r="I184" s="72"/>
      <c r="J184" s="72"/>
      <c r="K184" s="35"/>
      <c r="L184" s="80">
        <v>184</v>
      </c>
      <c r="M184" s="80"/>
      <c r="N184" s="74"/>
      <c r="O184" s="82" t="s">
        <v>909</v>
      </c>
      <c r="P184" s="82" t="s">
        <v>197</v>
      </c>
      <c r="Q184" s="85" t="s">
        <v>1091</v>
      </c>
      <c r="R184" s="82" t="s">
        <v>379</v>
      </c>
      <c r="S184" s="82" t="s">
        <v>1845</v>
      </c>
      <c r="T184" s="87" t="str">
        <f>HYPERLINK("http://www.youtube.com/channel/UCPB94hDA1pjLEMHmOdG8V0w")</f>
        <v>http://www.youtube.com/channel/UCPB94hDA1pjLEMHmOdG8V0w</v>
      </c>
      <c r="U184" s="82"/>
      <c r="V184" s="82" t="s">
        <v>2369</v>
      </c>
      <c r="W184" s="87" t="str">
        <f t="shared" si="6"/>
        <v>https://www.youtube.com/watch?v=E39neWnw9AA</v>
      </c>
      <c r="X184" s="82" t="s">
        <v>2384</v>
      </c>
      <c r="Y184" s="82">
        <v>0</v>
      </c>
      <c r="Z184" s="89">
        <v>45262.28803240741</v>
      </c>
      <c r="AA184" s="89">
        <v>45262.28803240741</v>
      </c>
      <c r="AB184" s="82"/>
      <c r="AC184" s="82"/>
      <c r="AD184" s="85" t="s">
        <v>2423</v>
      </c>
      <c r="AE184" s="84" t="str">
        <f>REPLACE(INDEX(GroupVertices[Group],MATCH("~"&amp;Edges[[#This Row],[Vertex 1]],GroupVertices[Vertex],0)),1,1,"")</f>
        <v>4</v>
      </c>
      <c r="AF184" s="84" t="str">
        <f>REPLACE(INDEX(GroupVertices[Group],MATCH("~"&amp;Edges[[#This Row],[Vertex 2]],GroupVertices[Vertex],0)),1,1,"")</f>
        <v>4</v>
      </c>
    </row>
    <row r="185" spans="1:32" ht="15">
      <c r="A185" s="66" t="s">
        <v>380</v>
      </c>
      <c r="B185" s="66" t="s">
        <v>902</v>
      </c>
      <c r="C185" s="67"/>
      <c r="D185" s="68"/>
      <c r="E185" s="69"/>
      <c r="F185" s="70"/>
      <c r="G185" s="67"/>
      <c r="H185" s="71"/>
      <c r="I185" s="72"/>
      <c r="J185" s="72"/>
      <c r="K185" s="35"/>
      <c r="L185" s="80">
        <v>185</v>
      </c>
      <c r="M185" s="80"/>
      <c r="N185" s="74"/>
      <c r="O185" s="82" t="s">
        <v>909</v>
      </c>
      <c r="P185" s="82" t="s">
        <v>197</v>
      </c>
      <c r="Q185" s="85" t="s">
        <v>1092</v>
      </c>
      <c r="R185" s="82" t="s">
        <v>380</v>
      </c>
      <c r="S185" s="82" t="s">
        <v>1846</v>
      </c>
      <c r="T185" s="87" t="str">
        <f>HYPERLINK("http://www.youtube.com/channel/UCB4TxRglTwXE21ERgJn67aA")</f>
        <v>http://www.youtube.com/channel/UCB4TxRglTwXE21ERgJn67aA</v>
      </c>
      <c r="U185" s="82"/>
      <c r="V185" s="82" t="s">
        <v>2369</v>
      </c>
      <c r="W185" s="87" t="str">
        <f t="shared" si="6"/>
        <v>https://www.youtube.com/watch?v=E39neWnw9AA</v>
      </c>
      <c r="X185" s="82" t="s">
        <v>2384</v>
      </c>
      <c r="Y185" s="82">
        <v>0</v>
      </c>
      <c r="Z185" s="89">
        <v>45262.309375</v>
      </c>
      <c r="AA185" s="89">
        <v>45262.309375</v>
      </c>
      <c r="AB185" s="82"/>
      <c r="AC185" s="82"/>
      <c r="AD185" s="85" t="s">
        <v>2423</v>
      </c>
      <c r="AE185" s="84" t="str">
        <f>REPLACE(INDEX(GroupVertices[Group],MATCH("~"&amp;Edges[[#This Row],[Vertex 1]],GroupVertices[Vertex],0)),1,1,"")</f>
        <v>4</v>
      </c>
      <c r="AF185" s="84" t="str">
        <f>REPLACE(INDEX(GroupVertices[Group],MATCH("~"&amp;Edges[[#This Row],[Vertex 2]],GroupVertices[Vertex],0)),1,1,"")</f>
        <v>4</v>
      </c>
    </row>
    <row r="186" spans="1:32" ht="15">
      <c r="A186" s="66" t="s">
        <v>381</v>
      </c>
      <c r="B186" s="66" t="s">
        <v>902</v>
      </c>
      <c r="C186" s="67"/>
      <c r="D186" s="68"/>
      <c r="E186" s="69"/>
      <c r="F186" s="70"/>
      <c r="G186" s="67"/>
      <c r="H186" s="71"/>
      <c r="I186" s="72"/>
      <c r="J186" s="72"/>
      <c r="K186" s="35"/>
      <c r="L186" s="80">
        <v>186</v>
      </c>
      <c r="M186" s="80"/>
      <c r="N186" s="74"/>
      <c r="O186" s="82" t="s">
        <v>909</v>
      </c>
      <c r="P186" s="82" t="s">
        <v>197</v>
      </c>
      <c r="Q186" s="85" t="s">
        <v>1093</v>
      </c>
      <c r="R186" s="82" t="s">
        <v>381</v>
      </c>
      <c r="S186" s="82" t="s">
        <v>1847</v>
      </c>
      <c r="T186" s="87" t="str">
        <f>HYPERLINK("http://www.youtube.com/channel/UC46gdzfsEZbNjMlkYMcaXbQ")</f>
        <v>http://www.youtube.com/channel/UC46gdzfsEZbNjMlkYMcaXbQ</v>
      </c>
      <c r="U186" s="82"/>
      <c r="V186" s="82" t="s">
        <v>2369</v>
      </c>
      <c r="W186" s="87" t="str">
        <f t="shared" si="6"/>
        <v>https://www.youtube.com/watch?v=E39neWnw9AA</v>
      </c>
      <c r="X186" s="82" t="s">
        <v>2384</v>
      </c>
      <c r="Y186" s="82">
        <v>0</v>
      </c>
      <c r="Z186" s="89">
        <v>45262.560208333336</v>
      </c>
      <c r="AA186" s="89">
        <v>45262.560208333336</v>
      </c>
      <c r="AB186" s="82"/>
      <c r="AC186" s="82"/>
      <c r="AD186" s="85" t="s">
        <v>2423</v>
      </c>
      <c r="AE186" s="84" t="str">
        <f>REPLACE(INDEX(GroupVertices[Group],MATCH("~"&amp;Edges[[#This Row],[Vertex 1]],GroupVertices[Vertex],0)),1,1,"")</f>
        <v>4</v>
      </c>
      <c r="AF186" s="84" t="str">
        <f>REPLACE(INDEX(GroupVertices[Group],MATCH("~"&amp;Edges[[#This Row],[Vertex 2]],GroupVertices[Vertex],0)),1,1,"")</f>
        <v>4</v>
      </c>
    </row>
    <row r="187" spans="1:32" ht="15">
      <c r="A187" s="66" t="s">
        <v>382</v>
      </c>
      <c r="B187" s="66" t="s">
        <v>902</v>
      </c>
      <c r="C187" s="67"/>
      <c r="D187" s="68"/>
      <c r="E187" s="69"/>
      <c r="F187" s="70"/>
      <c r="G187" s="67"/>
      <c r="H187" s="71"/>
      <c r="I187" s="72"/>
      <c r="J187" s="72"/>
      <c r="K187" s="35"/>
      <c r="L187" s="80">
        <v>187</v>
      </c>
      <c r="M187" s="80"/>
      <c r="N187" s="74"/>
      <c r="O187" s="82" t="s">
        <v>909</v>
      </c>
      <c r="P187" s="82" t="s">
        <v>197</v>
      </c>
      <c r="Q187" s="85" t="s">
        <v>1094</v>
      </c>
      <c r="R187" s="82" t="s">
        <v>382</v>
      </c>
      <c r="S187" s="82" t="s">
        <v>1848</v>
      </c>
      <c r="T187" s="87" t="str">
        <f>HYPERLINK("http://www.youtube.com/channel/UC5FI7UKfQnJ9oxtRvUGntZQ")</f>
        <v>http://www.youtube.com/channel/UC5FI7UKfQnJ9oxtRvUGntZQ</v>
      </c>
      <c r="U187" s="82"/>
      <c r="V187" s="82" t="s">
        <v>2369</v>
      </c>
      <c r="W187" s="87" t="str">
        <f t="shared" si="6"/>
        <v>https://www.youtube.com/watch?v=E39neWnw9AA</v>
      </c>
      <c r="X187" s="82" t="s">
        <v>2384</v>
      </c>
      <c r="Y187" s="82">
        <v>0</v>
      </c>
      <c r="Z187" s="89">
        <v>45262.64550925926</v>
      </c>
      <c r="AA187" s="89">
        <v>45262.64550925926</v>
      </c>
      <c r="AB187" s="82"/>
      <c r="AC187" s="82"/>
      <c r="AD187" s="85" t="s">
        <v>2423</v>
      </c>
      <c r="AE187" s="84" t="str">
        <f>REPLACE(INDEX(GroupVertices[Group],MATCH("~"&amp;Edges[[#This Row],[Vertex 1]],GroupVertices[Vertex],0)),1,1,"")</f>
        <v>4</v>
      </c>
      <c r="AF187" s="84" t="str">
        <f>REPLACE(INDEX(GroupVertices[Group],MATCH("~"&amp;Edges[[#This Row],[Vertex 2]],GroupVertices[Vertex],0)),1,1,"")</f>
        <v>4</v>
      </c>
    </row>
    <row r="188" spans="1:32" ht="15">
      <c r="A188" s="66" t="s">
        <v>383</v>
      </c>
      <c r="B188" s="66" t="s">
        <v>902</v>
      </c>
      <c r="C188" s="67"/>
      <c r="D188" s="68"/>
      <c r="E188" s="69"/>
      <c r="F188" s="70"/>
      <c r="G188" s="67"/>
      <c r="H188" s="71"/>
      <c r="I188" s="72"/>
      <c r="J188" s="72"/>
      <c r="K188" s="35"/>
      <c r="L188" s="80">
        <v>188</v>
      </c>
      <c r="M188" s="80"/>
      <c r="N188" s="74"/>
      <c r="O188" s="82" t="s">
        <v>909</v>
      </c>
      <c r="P188" s="82" t="s">
        <v>197</v>
      </c>
      <c r="Q188" s="85" t="s">
        <v>1095</v>
      </c>
      <c r="R188" s="82" t="s">
        <v>383</v>
      </c>
      <c r="S188" s="82" t="s">
        <v>1849</v>
      </c>
      <c r="T188" s="87" t="str">
        <f>HYPERLINK("http://www.youtube.com/channel/UClqdcyZk_8sbRo7-2ahz5eQ")</f>
        <v>http://www.youtube.com/channel/UClqdcyZk_8sbRo7-2ahz5eQ</v>
      </c>
      <c r="U188" s="82"/>
      <c r="V188" s="82" t="s">
        <v>2369</v>
      </c>
      <c r="W188" s="87" t="str">
        <f t="shared" si="6"/>
        <v>https://www.youtube.com/watch?v=E39neWnw9AA</v>
      </c>
      <c r="X188" s="82" t="s">
        <v>2384</v>
      </c>
      <c r="Y188" s="82">
        <v>0</v>
      </c>
      <c r="Z188" s="89">
        <v>45262.781122685185</v>
      </c>
      <c r="AA188" s="89">
        <v>45262.781122685185</v>
      </c>
      <c r="AB188" s="82"/>
      <c r="AC188" s="82"/>
      <c r="AD188" s="85" t="s">
        <v>2423</v>
      </c>
      <c r="AE188" s="84" t="str">
        <f>REPLACE(INDEX(GroupVertices[Group],MATCH("~"&amp;Edges[[#This Row],[Vertex 1]],GroupVertices[Vertex],0)),1,1,"")</f>
        <v>4</v>
      </c>
      <c r="AF188" s="84" t="str">
        <f>REPLACE(INDEX(GroupVertices[Group],MATCH("~"&amp;Edges[[#This Row],[Vertex 2]],GroupVertices[Vertex],0)),1,1,"")</f>
        <v>4</v>
      </c>
    </row>
    <row r="189" spans="1:32" ht="15">
      <c r="A189" s="66" t="s">
        <v>384</v>
      </c>
      <c r="B189" s="66" t="s">
        <v>902</v>
      </c>
      <c r="C189" s="67"/>
      <c r="D189" s="68"/>
      <c r="E189" s="69"/>
      <c r="F189" s="70"/>
      <c r="G189" s="67"/>
      <c r="H189" s="71"/>
      <c r="I189" s="72"/>
      <c r="J189" s="72"/>
      <c r="K189" s="35"/>
      <c r="L189" s="80">
        <v>189</v>
      </c>
      <c r="M189" s="80"/>
      <c r="N189" s="74"/>
      <c r="O189" s="82" t="s">
        <v>909</v>
      </c>
      <c r="P189" s="82" t="s">
        <v>197</v>
      </c>
      <c r="Q189" s="85" t="s">
        <v>1096</v>
      </c>
      <c r="R189" s="82" t="s">
        <v>384</v>
      </c>
      <c r="S189" s="82" t="s">
        <v>1850</v>
      </c>
      <c r="T189" s="87" t="str">
        <f>HYPERLINK("http://www.youtube.com/channel/UCNqUd8GbIO7BuYFI2-O3auQ")</f>
        <v>http://www.youtube.com/channel/UCNqUd8GbIO7BuYFI2-O3auQ</v>
      </c>
      <c r="U189" s="82"/>
      <c r="V189" s="82" t="s">
        <v>2369</v>
      </c>
      <c r="W189" s="87" t="str">
        <f t="shared" si="6"/>
        <v>https://www.youtube.com/watch?v=E39neWnw9AA</v>
      </c>
      <c r="X189" s="82" t="s">
        <v>2384</v>
      </c>
      <c r="Y189" s="82">
        <v>0</v>
      </c>
      <c r="Z189" s="89">
        <v>45262.78223379629</v>
      </c>
      <c r="AA189" s="89">
        <v>45262.78223379629</v>
      </c>
      <c r="AB189" s="82"/>
      <c r="AC189" s="82"/>
      <c r="AD189" s="85" t="s">
        <v>2423</v>
      </c>
      <c r="AE189" s="84" t="str">
        <f>REPLACE(INDEX(GroupVertices[Group],MATCH("~"&amp;Edges[[#This Row],[Vertex 1]],GroupVertices[Vertex],0)),1,1,"")</f>
        <v>4</v>
      </c>
      <c r="AF189" s="84" t="str">
        <f>REPLACE(INDEX(GroupVertices[Group],MATCH("~"&amp;Edges[[#This Row],[Vertex 2]],GroupVertices[Vertex],0)),1,1,"")</f>
        <v>4</v>
      </c>
    </row>
    <row r="190" spans="1:32" ht="15">
      <c r="A190" s="66" t="s">
        <v>385</v>
      </c>
      <c r="B190" s="66" t="s">
        <v>902</v>
      </c>
      <c r="C190" s="67"/>
      <c r="D190" s="68"/>
      <c r="E190" s="69"/>
      <c r="F190" s="70"/>
      <c r="G190" s="67"/>
      <c r="H190" s="71"/>
      <c r="I190" s="72"/>
      <c r="J190" s="72"/>
      <c r="K190" s="35"/>
      <c r="L190" s="80">
        <v>190</v>
      </c>
      <c r="M190" s="80"/>
      <c r="N190" s="74"/>
      <c r="O190" s="82" t="s">
        <v>909</v>
      </c>
      <c r="P190" s="82" t="s">
        <v>197</v>
      </c>
      <c r="Q190" s="85" t="s">
        <v>1097</v>
      </c>
      <c r="R190" s="82" t="s">
        <v>385</v>
      </c>
      <c r="S190" s="82" t="s">
        <v>1851</v>
      </c>
      <c r="T190" s="87" t="str">
        <f>HYPERLINK("http://www.youtube.com/channel/UCqBOXFcb9gVlZe3rFD6B6xg")</f>
        <v>http://www.youtube.com/channel/UCqBOXFcb9gVlZe3rFD6B6xg</v>
      </c>
      <c r="U190" s="82"/>
      <c r="V190" s="82" t="s">
        <v>2369</v>
      </c>
      <c r="W190" s="87" t="str">
        <f t="shared" si="6"/>
        <v>https://www.youtube.com/watch?v=E39neWnw9AA</v>
      </c>
      <c r="X190" s="82" t="s">
        <v>2384</v>
      </c>
      <c r="Y190" s="82">
        <v>0</v>
      </c>
      <c r="Z190" s="89">
        <v>45262.8387037037</v>
      </c>
      <c r="AA190" s="89">
        <v>45262.8387037037</v>
      </c>
      <c r="AB190" s="82"/>
      <c r="AC190" s="82"/>
      <c r="AD190" s="85" t="s">
        <v>2423</v>
      </c>
      <c r="AE190" s="84" t="str">
        <f>REPLACE(INDEX(GroupVertices[Group],MATCH("~"&amp;Edges[[#This Row],[Vertex 1]],GroupVertices[Vertex],0)),1,1,"")</f>
        <v>4</v>
      </c>
      <c r="AF190" s="84" t="str">
        <f>REPLACE(INDEX(GroupVertices[Group],MATCH("~"&amp;Edges[[#This Row],[Vertex 2]],GroupVertices[Vertex],0)),1,1,"")</f>
        <v>4</v>
      </c>
    </row>
    <row r="191" spans="1:32" ht="15">
      <c r="A191" s="66" t="s">
        <v>386</v>
      </c>
      <c r="B191" s="66" t="s">
        <v>902</v>
      </c>
      <c r="C191" s="67"/>
      <c r="D191" s="68"/>
      <c r="E191" s="69"/>
      <c r="F191" s="70"/>
      <c r="G191" s="67"/>
      <c r="H191" s="71"/>
      <c r="I191" s="72"/>
      <c r="J191" s="72"/>
      <c r="K191" s="35"/>
      <c r="L191" s="80">
        <v>191</v>
      </c>
      <c r="M191" s="80"/>
      <c r="N191" s="74"/>
      <c r="O191" s="82" t="s">
        <v>909</v>
      </c>
      <c r="P191" s="82" t="s">
        <v>197</v>
      </c>
      <c r="Q191" s="85" t="s">
        <v>1098</v>
      </c>
      <c r="R191" s="82" t="s">
        <v>386</v>
      </c>
      <c r="S191" s="82" t="s">
        <v>1852</v>
      </c>
      <c r="T191" s="87" t="str">
        <f>HYPERLINK("http://www.youtube.com/channel/UCnzRr8tkZOJ5XKq4eXeLJ2Q")</f>
        <v>http://www.youtube.com/channel/UCnzRr8tkZOJ5XKq4eXeLJ2Q</v>
      </c>
      <c r="U191" s="82"/>
      <c r="V191" s="82" t="s">
        <v>2369</v>
      </c>
      <c r="W191" s="87" t="str">
        <f t="shared" si="6"/>
        <v>https://www.youtube.com/watch?v=E39neWnw9AA</v>
      </c>
      <c r="X191" s="82" t="s">
        <v>2384</v>
      </c>
      <c r="Y191" s="82">
        <v>0</v>
      </c>
      <c r="Z191" s="89">
        <v>45262.963784722226</v>
      </c>
      <c r="AA191" s="89">
        <v>45262.963784722226</v>
      </c>
      <c r="AB191" s="82"/>
      <c r="AC191" s="82"/>
      <c r="AD191" s="85" t="s">
        <v>2423</v>
      </c>
      <c r="AE191" s="84" t="str">
        <f>REPLACE(INDEX(GroupVertices[Group],MATCH("~"&amp;Edges[[#This Row],[Vertex 1]],GroupVertices[Vertex],0)),1,1,"")</f>
        <v>4</v>
      </c>
      <c r="AF191" s="84" t="str">
        <f>REPLACE(INDEX(GroupVertices[Group],MATCH("~"&amp;Edges[[#This Row],[Vertex 2]],GroupVertices[Vertex],0)),1,1,"")</f>
        <v>4</v>
      </c>
    </row>
    <row r="192" spans="1:32" ht="15">
      <c r="A192" s="66" t="s">
        <v>386</v>
      </c>
      <c r="B192" s="66" t="s">
        <v>902</v>
      </c>
      <c r="C192" s="67"/>
      <c r="D192" s="68"/>
      <c r="E192" s="69"/>
      <c r="F192" s="70"/>
      <c r="G192" s="67"/>
      <c r="H192" s="71"/>
      <c r="I192" s="72"/>
      <c r="J192" s="72"/>
      <c r="K192" s="35"/>
      <c r="L192" s="80">
        <v>192</v>
      </c>
      <c r="M192" s="80"/>
      <c r="N192" s="74"/>
      <c r="O192" s="82" t="s">
        <v>909</v>
      </c>
      <c r="P192" s="82" t="s">
        <v>197</v>
      </c>
      <c r="Q192" s="85" t="s">
        <v>1099</v>
      </c>
      <c r="R192" s="82" t="s">
        <v>386</v>
      </c>
      <c r="S192" s="82" t="s">
        <v>1852</v>
      </c>
      <c r="T192" s="87" t="str">
        <f>HYPERLINK("http://www.youtube.com/channel/UCnzRr8tkZOJ5XKq4eXeLJ2Q")</f>
        <v>http://www.youtube.com/channel/UCnzRr8tkZOJ5XKq4eXeLJ2Q</v>
      </c>
      <c r="U192" s="82"/>
      <c r="V192" s="82" t="s">
        <v>2369</v>
      </c>
      <c r="W192" s="87" t="str">
        <f t="shared" si="6"/>
        <v>https://www.youtube.com/watch?v=E39neWnw9AA</v>
      </c>
      <c r="X192" s="82" t="s">
        <v>2384</v>
      </c>
      <c r="Y192" s="82">
        <v>0</v>
      </c>
      <c r="Z192" s="89">
        <v>45262.96892361111</v>
      </c>
      <c r="AA192" s="89">
        <v>45262.96892361111</v>
      </c>
      <c r="AB192" s="82"/>
      <c r="AC192" s="82"/>
      <c r="AD192" s="85" t="s">
        <v>2423</v>
      </c>
      <c r="AE192" s="84" t="str">
        <f>REPLACE(INDEX(GroupVertices[Group],MATCH("~"&amp;Edges[[#This Row],[Vertex 1]],GroupVertices[Vertex],0)),1,1,"")</f>
        <v>4</v>
      </c>
      <c r="AF192" s="84" t="str">
        <f>REPLACE(INDEX(GroupVertices[Group],MATCH("~"&amp;Edges[[#This Row],[Vertex 2]],GroupVertices[Vertex],0)),1,1,"")</f>
        <v>4</v>
      </c>
    </row>
    <row r="193" spans="1:32" ht="15">
      <c r="A193" s="66" t="s">
        <v>387</v>
      </c>
      <c r="B193" s="66" t="s">
        <v>902</v>
      </c>
      <c r="C193" s="67"/>
      <c r="D193" s="68"/>
      <c r="E193" s="69"/>
      <c r="F193" s="70"/>
      <c r="G193" s="67"/>
      <c r="H193" s="71"/>
      <c r="I193" s="72"/>
      <c r="J193" s="72"/>
      <c r="K193" s="35"/>
      <c r="L193" s="80">
        <v>193</v>
      </c>
      <c r="M193" s="80"/>
      <c r="N193" s="74"/>
      <c r="O193" s="82" t="s">
        <v>909</v>
      </c>
      <c r="P193" s="82" t="s">
        <v>197</v>
      </c>
      <c r="Q193" s="85" t="s">
        <v>1100</v>
      </c>
      <c r="R193" s="82" t="s">
        <v>387</v>
      </c>
      <c r="S193" s="82" t="s">
        <v>1853</v>
      </c>
      <c r="T193" s="87" t="str">
        <f>HYPERLINK("http://www.youtube.com/channel/UCR6Zdja4QfrSrmQCNPqnGaQ")</f>
        <v>http://www.youtube.com/channel/UCR6Zdja4QfrSrmQCNPqnGaQ</v>
      </c>
      <c r="U193" s="82"/>
      <c r="V193" s="82" t="s">
        <v>2369</v>
      </c>
      <c r="W193" s="87" t="str">
        <f t="shared" si="6"/>
        <v>https://www.youtube.com/watch?v=E39neWnw9AA</v>
      </c>
      <c r="X193" s="82" t="s">
        <v>2384</v>
      </c>
      <c r="Y193" s="82">
        <v>0</v>
      </c>
      <c r="Z193" s="89">
        <v>45263.03766203704</v>
      </c>
      <c r="AA193" s="89">
        <v>45263.03766203704</v>
      </c>
      <c r="AB193" s="82"/>
      <c r="AC193" s="82"/>
      <c r="AD193" s="85" t="s">
        <v>2423</v>
      </c>
      <c r="AE193" s="84" t="str">
        <f>REPLACE(INDEX(GroupVertices[Group],MATCH("~"&amp;Edges[[#This Row],[Vertex 1]],GroupVertices[Vertex],0)),1,1,"")</f>
        <v>4</v>
      </c>
      <c r="AF193" s="84" t="str">
        <f>REPLACE(INDEX(GroupVertices[Group],MATCH("~"&amp;Edges[[#This Row],[Vertex 2]],GroupVertices[Vertex],0)),1,1,"")</f>
        <v>4</v>
      </c>
    </row>
    <row r="194" spans="1:32" ht="15">
      <c r="A194" s="66" t="s">
        <v>388</v>
      </c>
      <c r="B194" s="66" t="s">
        <v>902</v>
      </c>
      <c r="C194" s="67"/>
      <c r="D194" s="68"/>
      <c r="E194" s="69"/>
      <c r="F194" s="70"/>
      <c r="G194" s="67"/>
      <c r="H194" s="71"/>
      <c r="I194" s="72"/>
      <c r="J194" s="72"/>
      <c r="K194" s="35"/>
      <c r="L194" s="80">
        <v>194</v>
      </c>
      <c r="M194" s="80"/>
      <c r="N194" s="74"/>
      <c r="O194" s="82" t="s">
        <v>909</v>
      </c>
      <c r="P194" s="82" t="s">
        <v>197</v>
      </c>
      <c r="Q194" s="85" t="s">
        <v>1101</v>
      </c>
      <c r="R194" s="82" t="s">
        <v>388</v>
      </c>
      <c r="S194" s="82" t="s">
        <v>1854</v>
      </c>
      <c r="T194" s="87" t="str">
        <f>HYPERLINK("http://www.youtube.com/channel/UC5H8IyBGyC1_uqZj0WpUctQ")</f>
        <v>http://www.youtube.com/channel/UC5H8IyBGyC1_uqZj0WpUctQ</v>
      </c>
      <c r="U194" s="82"/>
      <c r="V194" s="82" t="s">
        <v>2369</v>
      </c>
      <c r="W194" s="87" t="str">
        <f t="shared" si="6"/>
        <v>https://www.youtube.com/watch?v=E39neWnw9AA</v>
      </c>
      <c r="X194" s="82" t="s">
        <v>2384</v>
      </c>
      <c r="Y194" s="82">
        <v>0</v>
      </c>
      <c r="Z194" s="89">
        <v>45263.46111111111</v>
      </c>
      <c r="AA194" s="89">
        <v>45263.46111111111</v>
      </c>
      <c r="AB194" s="82"/>
      <c r="AC194" s="82"/>
      <c r="AD194" s="85" t="s">
        <v>2423</v>
      </c>
      <c r="AE194" s="84" t="str">
        <f>REPLACE(INDEX(GroupVertices[Group],MATCH("~"&amp;Edges[[#This Row],[Vertex 1]],GroupVertices[Vertex],0)),1,1,"")</f>
        <v>4</v>
      </c>
      <c r="AF194" s="84" t="str">
        <f>REPLACE(INDEX(GroupVertices[Group],MATCH("~"&amp;Edges[[#This Row],[Vertex 2]],GroupVertices[Vertex],0)),1,1,"")</f>
        <v>4</v>
      </c>
    </row>
    <row r="195" spans="1:32" ht="15">
      <c r="A195" s="66" t="s">
        <v>389</v>
      </c>
      <c r="B195" s="66" t="s">
        <v>901</v>
      </c>
      <c r="C195" s="67"/>
      <c r="D195" s="68"/>
      <c r="E195" s="69"/>
      <c r="F195" s="70"/>
      <c r="G195" s="67"/>
      <c r="H195" s="71"/>
      <c r="I195" s="72"/>
      <c r="J195" s="72"/>
      <c r="K195" s="35"/>
      <c r="L195" s="80">
        <v>195</v>
      </c>
      <c r="M195" s="80"/>
      <c r="N195" s="74"/>
      <c r="O195" s="82" t="s">
        <v>909</v>
      </c>
      <c r="P195" s="82" t="s">
        <v>197</v>
      </c>
      <c r="Q195" s="85" t="s">
        <v>1102</v>
      </c>
      <c r="R195" s="82" t="s">
        <v>389</v>
      </c>
      <c r="S195" s="82" t="s">
        <v>1855</v>
      </c>
      <c r="T195" s="87" t="str">
        <f>HYPERLINK("http://www.youtube.com/channel/UC17mErxjAd4oawIh0PhYMRw")</f>
        <v>http://www.youtube.com/channel/UC17mErxjAd4oawIh0PhYMRw</v>
      </c>
      <c r="U195" s="82"/>
      <c r="V195" s="82" t="s">
        <v>2368</v>
      </c>
      <c r="W195" s="87" t="str">
        <f>HYPERLINK("https://www.youtube.com/watch?v=gLvkWpnzba8")</f>
        <v>https://www.youtube.com/watch?v=gLvkWpnzba8</v>
      </c>
      <c r="X195" s="82" t="s">
        <v>2384</v>
      </c>
      <c r="Y195" s="82">
        <v>1</v>
      </c>
      <c r="Z195" s="89">
        <v>45266.76113425926</v>
      </c>
      <c r="AA195" s="89">
        <v>45266.76113425926</v>
      </c>
      <c r="AB195" s="82"/>
      <c r="AC195" s="82"/>
      <c r="AD195" s="85" t="s">
        <v>2423</v>
      </c>
      <c r="AE195" s="84" t="str">
        <f>REPLACE(INDEX(GroupVertices[Group],MATCH("~"&amp;Edges[[#This Row],[Vertex 1]],GroupVertices[Vertex],0)),1,1,"")</f>
        <v>4</v>
      </c>
      <c r="AF195" s="84" t="str">
        <f>REPLACE(INDEX(GroupVertices[Group],MATCH("~"&amp;Edges[[#This Row],[Vertex 2]],GroupVertices[Vertex],0)),1,1,"")</f>
        <v>6</v>
      </c>
    </row>
    <row r="196" spans="1:32" ht="15">
      <c r="A196" s="66" t="s">
        <v>389</v>
      </c>
      <c r="B196" s="66" t="s">
        <v>902</v>
      </c>
      <c r="C196" s="67"/>
      <c r="D196" s="68"/>
      <c r="E196" s="69"/>
      <c r="F196" s="70"/>
      <c r="G196" s="67"/>
      <c r="H196" s="71"/>
      <c r="I196" s="72"/>
      <c r="J196" s="72"/>
      <c r="K196" s="35"/>
      <c r="L196" s="80">
        <v>196</v>
      </c>
      <c r="M196" s="80"/>
      <c r="N196" s="74"/>
      <c r="O196" s="82" t="s">
        <v>909</v>
      </c>
      <c r="P196" s="82" t="s">
        <v>197</v>
      </c>
      <c r="Q196" s="85" t="s">
        <v>1103</v>
      </c>
      <c r="R196" s="82" t="s">
        <v>389</v>
      </c>
      <c r="S196" s="82" t="s">
        <v>1855</v>
      </c>
      <c r="T196" s="87" t="str">
        <f>HYPERLINK("http://www.youtube.com/channel/UC17mErxjAd4oawIh0PhYMRw")</f>
        <v>http://www.youtube.com/channel/UC17mErxjAd4oawIh0PhYMRw</v>
      </c>
      <c r="U196" s="82"/>
      <c r="V196" s="82" t="s">
        <v>2369</v>
      </c>
      <c r="W196" s="87" t="str">
        <f aca="true" t="shared" si="7" ref="W196:W205">HYPERLINK("https://www.youtube.com/watch?v=E39neWnw9AA")</f>
        <v>https://www.youtube.com/watch?v=E39neWnw9AA</v>
      </c>
      <c r="X196" s="82" t="s">
        <v>2384</v>
      </c>
      <c r="Y196" s="82">
        <v>0</v>
      </c>
      <c r="Z196" s="89">
        <v>45263.889340277776</v>
      </c>
      <c r="AA196" s="89">
        <v>45263.889340277776</v>
      </c>
      <c r="AB196" s="82"/>
      <c r="AC196" s="82"/>
      <c r="AD196" s="85" t="s">
        <v>2423</v>
      </c>
      <c r="AE196" s="84" t="str">
        <f>REPLACE(INDEX(GroupVertices[Group],MATCH("~"&amp;Edges[[#This Row],[Vertex 1]],GroupVertices[Vertex],0)),1,1,"")</f>
        <v>4</v>
      </c>
      <c r="AF196" s="84" t="str">
        <f>REPLACE(INDEX(GroupVertices[Group],MATCH("~"&amp;Edges[[#This Row],[Vertex 2]],GroupVertices[Vertex],0)),1,1,"")</f>
        <v>4</v>
      </c>
    </row>
    <row r="197" spans="1:32" ht="15">
      <c r="A197" s="66" t="s">
        <v>390</v>
      </c>
      <c r="B197" s="66" t="s">
        <v>902</v>
      </c>
      <c r="C197" s="67"/>
      <c r="D197" s="68"/>
      <c r="E197" s="69"/>
      <c r="F197" s="70"/>
      <c r="G197" s="67"/>
      <c r="H197" s="71"/>
      <c r="I197" s="72"/>
      <c r="J197" s="72"/>
      <c r="K197" s="35"/>
      <c r="L197" s="80">
        <v>197</v>
      </c>
      <c r="M197" s="80"/>
      <c r="N197" s="74"/>
      <c r="O197" s="82" t="s">
        <v>909</v>
      </c>
      <c r="P197" s="82" t="s">
        <v>197</v>
      </c>
      <c r="Q197" s="85" t="s">
        <v>1104</v>
      </c>
      <c r="R197" s="82" t="s">
        <v>390</v>
      </c>
      <c r="S197" s="82" t="s">
        <v>1856</v>
      </c>
      <c r="T197" s="87" t="str">
        <f>HYPERLINK("http://www.youtube.com/channel/UCVF4fbahqapFHIxtAoW6X7w")</f>
        <v>http://www.youtube.com/channel/UCVF4fbahqapFHIxtAoW6X7w</v>
      </c>
      <c r="U197" s="82"/>
      <c r="V197" s="82" t="s">
        <v>2369</v>
      </c>
      <c r="W197" s="87" t="str">
        <f t="shared" si="7"/>
        <v>https://www.youtube.com/watch?v=E39neWnw9AA</v>
      </c>
      <c r="X197" s="82" t="s">
        <v>2384</v>
      </c>
      <c r="Y197" s="82">
        <v>0</v>
      </c>
      <c r="Z197" s="89">
        <v>45263.91290509259</v>
      </c>
      <c r="AA197" s="89">
        <v>45263.91290509259</v>
      </c>
      <c r="AB197" s="82"/>
      <c r="AC197" s="82"/>
      <c r="AD197" s="85" t="s">
        <v>2423</v>
      </c>
      <c r="AE197" s="84" t="str">
        <f>REPLACE(INDEX(GroupVertices[Group],MATCH("~"&amp;Edges[[#This Row],[Vertex 1]],GroupVertices[Vertex],0)),1,1,"")</f>
        <v>4</v>
      </c>
      <c r="AF197" s="84" t="str">
        <f>REPLACE(INDEX(GroupVertices[Group],MATCH("~"&amp;Edges[[#This Row],[Vertex 2]],GroupVertices[Vertex],0)),1,1,"")</f>
        <v>4</v>
      </c>
    </row>
    <row r="198" spans="1:32" ht="15">
      <c r="A198" s="66" t="s">
        <v>391</v>
      </c>
      <c r="B198" s="66" t="s">
        <v>902</v>
      </c>
      <c r="C198" s="67"/>
      <c r="D198" s="68"/>
      <c r="E198" s="69"/>
      <c r="F198" s="70"/>
      <c r="G198" s="67"/>
      <c r="H198" s="71"/>
      <c r="I198" s="72"/>
      <c r="J198" s="72"/>
      <c r="K198" s="35"/>
      <c r="L198" s="80">
        <v>198</v>
      </c>
      <c r="M198" s="80"/>
      <c r="N198" s="74"/>
      <c r="O198" s="82" t="s">
        <v>909</v>
      </c>
      <c r="P198" s="82" t="s">
        <v>197</v>
      </c>
      <c r="Q198" s="85" t="s">
        <v>1105</v>
      </c>
      <c r="R198" s="82" t="s">
        <v>391</v>
      </c>
      <c r="S198" s="82" t="s">
        <v>1857</v>
      </c>
      <c r="T198" s="87" t="str">
        <f>HYPERLINK("http://www.youtube.com/channel/UCJtquISse_1HFyRfiJ32JqQ")</f>
        <v>http://www.youtube.com/channel/UCJtquISse_1HFyRfiJ32JqQ</v>
      </c>
      <c r="U198" s="82"/>
      <c r="V198" s="82" t="s">
        <v>2369</v>
      </c>
      <c r="W198" s="87" t="str">
        <f t="shared" si="7"/>
        <v>https://www.youtube.com/watch?v=E39neWnw9AA</v>
      </c>
      <c r="X198" s="82" t="s">
        <v>2384</v>
      </c>
      <c r="Y198" s="82">
        <v>0</v>
      </c>
      <c r="Z198" s="89">
        <v>45263.96443287037</v>
      </c>
      <c r="AA198" s="89">
        <v>45263.965636574074</v>
      </c>
      <c r="AB198" s="82"/>
      <c r="AC198" s="82"/>
      <c r="AD198" s="85" t="s">
        <v>2423</v>
      </c>
      <c r="AE198" s="84" t="str">
        <f>REPLACE(INDEX(GroupVertices[Group],MATCH("~"&amp;Edges[[#This Row],[Vertex 1]],GroupVertices[Vertex],0)),1,1,"")</f>
        <v>4</v>
      </c>
      <c r="AF198" s="84" t="str">
        <f>REPLACE(INDEX(GroupVertices[Group],MATCH("~"&amp;Edges[[#This Row],[Vertex 2]],GroupVertices[Vertex],0)),1,1,"")</f>
        <v>4</v>
      </c>
    </row>
    <row r="199" spans="1:32" ht="15">
      <c r="A199" s="66" t="s">
        <v>392</v>
      </c>
      <c r="B199" s="66" t="s">
        <v>902</v>
      </c>
      <c r="C199" s="67"/>
      <c r="D199" s="68"/>
      <c r="E199" s="69"/>
      <c r="F199" s="70"/>
      <c r="G199" s="67"/>
      <c r="H199" s="71"/>
      <c r="I199" s="72"/>
      <c r="J199" s="72"/>
      <c r="K199" s="35"/>
      <c r="L199" s="80">
        <v>199</v>
      </c>
      <c r="M199" s="80"/>
      <c r="N199" s="74"/>
      <c r="O199" s="82" t="s">
        <v>909</v>
      </c>
      <c r="P199" s="82" t="s">
        <v>197</v>
      </c>
      <c r="Q199" s="85" t="s">
        <v>1106</v>
      </c>
      <c r="R199" s="82" t="s">
        <v>392</v>
      </c>
      <c r="S199" s="82" t="s">
        <v>1858</v>
      </c>
      <c r="T199" s="87" t="str">
        <f>HYPERLINK("http://www.youtube.com/channel/UCswxiL8yA-zlE2yQL0NSiGA")</f>
        <v>http://www.youtube.com/channel/UCswxiL8yA-zlE2yQL0NSiGA</v>
      </c>
      <c r="U199" s="82"/>
      <c r="V199" s="82" t="s">
        <v>2369</v>
      </c>
      <c r="W199" s="87" t="str">
        <f t="shared" si="7"/>
        <v>https://www.youtube.com/watch?v=E39neWnw9AA</v>
      </c>
      <c r="X199" s="82" t="s">
        <v>2384</v>
      </c>
      <c r="Y199" s="82">
        <v>0</v>
      </c>
      <c r="Z199" s="89">
        <v>45264.05668981482</v>
      </c>
      <c r="AA199" s="89">
        <v>45264.05668981482</v>
      </c>
      <c r="AB199" s="82"/>
      <c r="AC199" s="82"/>
      <c r="AD199" s="85" t="s">
        <v>2423</v>
      </c>
      <c r="AE199" s="84" t="str">
        <f>REPLACE(INDEX(GroupVertices[Group],MATCH("~"&amp;Edges[[#This Row],[Vertex 1]],GroupVertices[Vertex],0)),1,1,"")</f>
        <v>4</v>
      </c>
      <c r="AF199" s="84" t="str">
        <f>REPLACE(INDEX(GroupVertices[Group],MATCH("~"&amp;Edges[[#This Row],[Vertex 2]],GroupVertices[Vertex],0)),1,1,"")</f>
        <v>4</v>
      </c>
    </row>
    <row r="200" spans="1:32" ht="15">
      <c r="A200" s="66" t="s">
        <v>393</v>
      </c>
      <c r="B200" s="66" t="s">
        <v>902</v>
      </c>
      <c r="C200" s="67"/>
      <c r="D200" s="68"/>
      <c r="E200" s="69"/>
      <c r="F200" s="70"/>
      <c r="G200" s="67"/>
      <c r="H200" s="71"/>
      <c r="I200" s="72"/>
      <c r="J200" s="72"/>
      <c r="K200" s="35"/>
      <c r="L200" s="80">
        <v>200</v>
      </c>
      <c r="M200" s="80"/>
      <c r="N200" s="74"/>
      <c r="O200" s="82" t="s">
        <v>909</v>
      </c>
      <c r="P200" s="82" t="s">
        <v>197</v>
      </c>
      <c r="Q200" s="85" t="s">
        <v>1107</v>
      </c>
      <c r="R200" s="82" t="s">
        <v>393</v>
      </c>
      <c r="S200" s="82" t="s">
        <v>1859</v>
      </c>
      <c r="T200" s="87" t="str">
        <f>HYPERLINK("http://www.youtube.com/channel/UCVvHnILmW04dz4BKeztRWjg")</f>
        <v>http://www.youtube.com/channel/UCVvHnILmW04dz4BKeztRWjg</v>
      </c>
      <c r="U200" s="82"/>
      <c r="V200" s="82" t="s">
        <v>2369</v>
      </c>
      <c r="W200" s="87" t="str">
        <f t="shared" si="7"/>
        <v>https://www.youtube.com/watch?v=E39neWnw9AA</v>
      </c>
      <c r="X200" s="82" t="s">
        <v>2384</v>
      </c>
      <c r="Y200" s="82">
        <v>0</v>
      </c>
      <c r="Z200" s="89">
        <v>45264.180659722224</v>
      </c>
      <c r="AA200" s="89">
        <v>45264.180659722224</v>
      </c>
      <c r="AB200" s="82"/>
      <c r="AC200" s="82"/>
      <c r="AD200" s="85" t="s">
        <v>2423</v>
      </c>
      <c r="AE200" s="84" t="str">
        <f>REPLACE(INDEX(GroupVertices[Group],MATCH("~"&amp;Edges[[#This Row],[Vertex 1]],GroupVertices[Vertex],0)),1,1,"")</f>
        <v>4</v>
      </c>
      <c r="AF200" s="84" t="str">
        <f>REPLACE(INDEX(GroupVertices[Group],MATCH("~"&amp;Edges[[#This Row],[Vertex 2]],GroupVertices[Vertex],0)),1,1,"")</f>
        <v>4</v>
      </c>
    </row>
    <row r="201" spans="1:32" ht="15">
      <c r="A201" s="66" t="s">
        <v>394</v>
      </c>
      <c r="B201" s="66" t="s">
        <v>902</v>
      </c>
      <c r="C201" s="67"/>
      <c r="D201" s="68"/>
      <c r="E201" s="69"/>
      <c r="F201" s="70"/>
      <c r="G201" s="67"/>
      <c r="H201" s="71"/>
      <c r="I201" s="72"/>
      <c r="J201" s="72"/>
      <c r="K201" s="35"/>
      <c r="L201" s="80">
        <v>201</v>
      </c>
      <c r="M201" s="80"/>
      <c r="N201" s="74"/>
      <c r="O201" s="82" t="s">
        <v>909</v>
      </c>
      <c r="P201" s="82" t="s">
        <v>197</v>
      </c>
      <c r="Q201" s="85" t="s">
        <v>1108</v>
      </c>
      <c r="R201" s="82" t="s">
        <v>394</v>
      </c>
      <c r="S201" s="82" t="s">
        <v>1860</v>
      </c>
      <c r="T201" s="87" t="str">
        <f>HYPERLINK("http://www.youtube.com/channel/UCuYAj8_L7-HTsUJ0KXq6VMg")</f>
        <v>http://www.youtube.com/channel/UCuYAj8_L7-HTsUJ0KXq6VMg</v>
      </c>
      <c r="U201" s="82"/>
      <c r="V201" s="82" t="s">
        <v>2369</v>
      </c>
      <c r="W201" s="87" t="str">
        <f t="shared" si="7"/>
        <v>https://www.youtube.com/watch?v=E39neWnw9AA</v>
      </c>
      <c r="X201" s="82" t="s">
        <v>2384</v>
      </c>
      <c r="Y201" s="82">
        <v>0</v>
      </c>
      <c r="Z201" s="89">
        <v>45264.86331018519</v>
      </c>
      <c r="AA201" s="89">
        <v>45264.86331018519</v>
      </c>
      <c r="AB201" s="82" t="s">
        <v>2394</v>
      </c>
      <c r="AC201" s="82" t="s">
        <v>2413</v>
      </c>
      <c r="AD201" s="85" t="s">
        <v>2423</v>
      </c>
      <c r="AE201" s="84" t="str">
        <f>REPLACE(INDEX(GroupVertices[Group],MATCH("~"&amp;Edges[[#This Row],[Vertex 1]],GroupVertices[Vertex],0)),1,1,"")</f>
        <v>4</v>
      </c>
      <c r="AF201" s="84" t="str">
        <f>REPLACE(INDEX(GroupVertices[Group],MATCH("~"&amp;Edges[[#This Row],[Vertex 2]],GroupVertices[Vertex],0)),1,1,"")</f>
        <v>4</v>
      </c>
    </row>
    <row r="202" spans="1:32" ht="15">
      <c r="A202" s="66" t="s">
        <v>395</v>
      </c>
      <c r="B202" s="66" t="s">
        <v>902</v>
      </c>
      <c r="C202" s="67"/>
      <c r="D202" s="68"/>
      <c r="E202" s="69"/>
      <c r="F202" s="70"/>
      <c r="G202" s="67"/>
      <c r="H202" s="71"/>
      <c r="I202" s="72"/>
      <c r="J202" s="72"/>
      <c r="K202" s="35"/>
      <c r="L202" s="80">
        <v>202</v>
      </c>
      <c r="M202" s="80"/>
      <c r="N202" s="74"/>
      <c r="O202" s="82" t="s">
        <v>909</v>
      </c>
      <c r="P202" s="82" t="s">
        <v>197</v>
      </c>
      <c r="Q202" s="85" t="s">
        <v>1109</v>
      </c>
      <c r="R202" s="82" t="s">
        <v>395</v>
      </c>
      <c r="S202" s="82" t="s">
        <v>1861</v>
      </c>
      <c r="T202" s="87" t="str">
        <f>HYPERLINK("http://www.youtube.com/channel/UCPHMAzVm59vOlpXsfi406kg")</f>
        <v>http://www.youtube.com/channel/UCPHMAzVm59vOlpXsfi406kg</v>
      </c>
      <c r="U202" s="82"/>
      <c r="V202" s="82" t="s">
        <v>2369</v>
      </c>
      <c r="W202" s="87" t="str">
        <f t="shared" si="7"/>
        <v>https://www.youtube.com/watch?v=E39neWnw9AA</v>
      </c>
      <c r="X202" s="82" t="s">
        <v>2384</v>
      </c>
      <c r="Y202" s="82">
        <v>0</v>
      </c>
      <c r="Z202" s="89">
        <v>45265.00041666667</v>
      </c>
      <c r="AA202" s="89">
        <v>45265.00041666667</v>
      </c>
      <c r="AB202" s="82"/>
      <c r="AC202" s="82"/>
      <c r="AD202" s="85" t="s">
        <v>2423</v>
      </c>
      <c r="AE202" s="84" t="str">
        <f>REPLACE(INDEX(GroupVertices[Group],MATCH("~"&amp;Edges[[#This Row],[Vertex 1]],GroupVertices[Vertex],0)),1,1,"")</f>
        <v>4</v>
      </c>
      <c r="AF202" s="84" t="str">
        <f>REPLACE(INDEX(GroupVertices[Group],MATCH("~"&amp;Edges[[#This Row],[Vertex 2]],GroupVertices[Vertex],0)),1,1,"")</f>
        <v>4</v>
      </c>
    </row>
    <row r="203" spans="1:32" ht="15">
      <c r="A203" s="66" t="s">
        <v>396</v>
      </c>
      <c r="B203" s="66" t="s">
        <v>902</v>
      </c>
      <c r="C203" s="67"/>
      <c r="D203" s="68"/>
      <c r="E203" s="69"/>
      <c r="F203" s="70"/>
      <c r="G203" s="67"/>
      <c r="H203" s="71"/>
      <c r="I203" s="72"/>
      <c r="J203" s="72"/>
      <c r="K203" s="35"/>
      <c r="L203" s="80">
        <v>203</v>
      </c>
      <c r="M203" s="80"/>
      <c r="N203" s="74"/>
      <c r="O203" s="82" t="s">
        <v>909</v>
      </c>
      <c r="P203" s="82" t="s">
        <v>197</v>
      </c>
      <c r="Q203" s="85" t="s">
        <v>1110</v>
      </c>
      <c r="R203" s="82" t="s">
        <v>396</v>
      </c>
      <c r="S203" s="82" t="s">
        <v>1862</v>
      </c>
      <c r="T203" s="87" t="str">
        <f>HYPERLINK("http://www.youtube.com/channel/UCWoXJ1aX8L444JNZD0xF62w")</f>
        <v>http://www.youtube.com/channel/UCWoXJ1aX8L444JNZD0xF62w</v>
      </c>
      <c r="U203" s="82"/>
      <c r="V203" s="82" t="s">
        <v>2369</v>
      </c>
      <c r="W203" s="87" t="str">
        <f t="shared" si="7"/>
        <v>https://www.youtube.com/watch?v=E39neWnw9AA</v>
      </c>
      <c r="X203" s="82" t="s">
        <v>2384</v>
      </c>
      <c r="Y203" s="82">
        <v>0</v>
      </c>
      <c r="Z203" s="89">
        <v>45265.00974537037</v>
      </c>
      <c r="AA203" s="89">
        <v>45265.00974537037</v>
      </c>
      <c r="AB203" s="82"/>
      <c r="AC203" s="82"/>
      <c r="AD203" s="85" t="s">
        <v>2423</v>
      </c>
      <c r="AE203" s="84" t="str">
        <f>REPLACE(INDEX(GroupVertices[Group],MATCH("~"&amp;Edges[[#This Row],[Vertex 1]],GroupVertices[Vertex],0)),1,1,"")</f>
        <v>4</v>
      </c>
      <c r="AF203" s="84" t="str">
        <f>REPLACE(INDEX(GroupVertices[Group],MATCH("~"&amp;Edges[[#This Row],[Vertex 2]],GroupVertices[Vertex],0)),1,1,"")</f>
        <v>4</v>
      </c>
    </row>
    <row r="204" spans="1:32" ht="15">
      <c r="A204" s="66" t="s">
        <v>397</v>
      </c>
      <c r="B204" s="66" t="s">
        <v>902</v>
      </c>
      <c r="C204" s="67"/>
      <c r="D204" s="68"/>
      <c r="E204" s="69"/>
      <c r="F204" s="70"/>
      <c r="G204" s="67"/>
      <c r="H204" s="71"/>
      <c r="I204" s="72"/>
      <c r="J204" s="72"/>
      <c r="K204" s="35"/>
      <c r="L204" s="80">
        <v>204</v>
      </c>
      <c r="M204" s="80"/>
      <c r="N204" s="74"/>
      <c r="O204" s="82" t="s">
        <v>909</v>
      </c>
      <c r="P204" s="82" t="s">
        <v>197</v>
      </c>
      <c r="Q204" s="85" t="s">
        <v>1111</v>
      </c>
      <c r="R204" s="82" t="s">
        <v>397</v>
      </c>
      <c r="S204" s="82" t="s">
        <v>1863</v>
      </c>
      <c r="T204" s="87" t="str">
        <f>HYPERLINK("http://www.youtube.com/channel/UCTrOox6jyPqqYnZuId2s5CA")</f>
        <v>http://www.youtube.com/channel/UCTrOox6jyPqqYnZuId2s5CA</v>
      </c>
      <c r="U204" s="82"/>
      <c r="V204" s="82" t="s">
        <v>2369</v>
      </c>
      <c r="W204" s="87" t="str">
        <f t="shared" si="7"/>
        <v>https://www.youtube.com/watch?v=E39neWnw9AA</v>
      </c>
      <c r="X204" s="82" t="s">
        <v>2384</v>
      </c>
      <c r="Y204" s="82">
        <v>0</v>
      </c>
      <c r="Z204" s="89">
        <v>45265.04041666666</v>
      </c>
      <c r="AA204" s="89">
        <v>45265.04041666666</v>
      </c>
      <c r="AB204" s="82"/>
      <c r="AC204" s="82"/>
      <c r="AD204" s="85" t="s">
        <v>2423</v>
      </c>
      <c r="AE204" s="84" t="str">
        <f>REPLACE(INDEX(GroupVertices[Group],MATCH("~"&amp;Edges[[#This Row],[Vertex 1]],GroupVertices[Vertex],0)),1,1,"")</f>
        <v>4</v>
      </c>
      <c r="AF204" s="84" t="str">
        <f>REPLACE(INDEX(GroupVertices[Group],MATCH("~"&amp;Edges[[#This Row],[Vertex 2]],GroupVertices[Vertex],0)),1,1,"")</f>
        <v>4</v>
      </c>
    </row>
    <row r="205" spans="1:32" ht="15">
      <c r="A205" s="66" t="s">
        <v>398</v>
      </c>
      <c r="B205" s="66" t="s">
        <v>902</v>
      </c>
      <c r="C205" s="67"/>
      <c r="D205" s="68"/>
      <c r="E205" s="69"/>
      <c r="F205" s="70"/>
      <c r="G205" s="67"/>
      <c r="H205" s="71"/>
      <c r="I205" s="72"/>
      <c r="J205" s="72"/>
      <c r="K205" s="35"/>
      <c r="L205" s="80">
        <v>205</v>
      </c>
      <c r="M205" s="80"/>
      <c r="N205" s="74"/>
      <c r="O205" s="82" t="s">
        <v>909</v>
      </c>
      <c r="P205" s="82" t="s">
        <v>197</v>
      </c>
      <c r="Q205" s="85" t="s">
        <v>1112</v>
      </c>
      <c r="R205" s="82" t="s">
        <v>398</v>
      </c>
      <c r="S205" s="82" t="s">
        <v>1864</v>
      </c>
      <c r="T205" s="87" t="str">
        <f>HYPERLINK("http://www.youtube.com/channel/UCARipcc1VkrLnzLwHT1Cacg")</f>
        <v>http://www.youtube.com/channel/UCARipcc1VkrLnzLwHT1Cacg</v>
      </c>
      <c r="U205" s="82"/>
      <c r="V205" s="82" t="s">
        <v>2369</v>
      </c>
      <c r="W205" s="87" t="str">
        <f t="shared" si="7"/>
        <v>https://www.youtube.com/watch?v=E39neWnw9AA</v>
      </c>
      <c r="X205" s="82" t="s">
        <v>2384</v>
      </c>
      <c r="Y205" s="82">
        <v>0</v>
      </c>
      <c r="Z205" s="89">
        <v>45265.08491898148</v>
      </c>
      <c r="AA205" s="89">
        <v>45265.08491898148</v>
      </c>
      <c r="AB205" s="82"/>
      <c r="AC205" s="82"/>
      <c r="AD205" s="85" t="s">
        <v>2423</v>
      </c>
      <c r="AE205" s="84" t="str">
        <f>REPLACE(INDEX(GroupVertices[Group],MATCH("~"&amp;Edges[[#This Row],[Vertex 1]],GroupVertices[Vertex],0)),1,1,"")</f>
        <v>4</v>
      </c>
      <c r="AF205" s="84" t="str">
        <f>REPLACE(INDEX(GroupVertices[Group],MATCH("~"&amp;Edges[[#This Row],[Vertex 2]],GroupVertices[Vertex],0)),1,1,"")</f>
        <v>4</v>
      </c>
    </row>
    <row r="206" spans="1:32" ht="15">
      <c r="A206" s="66" t="s">
        <v>399</v>
      </c>
      <c r="B206" s="66" t="s">
        <v>901</v>
      </c>
      <c r="C206" s="67"/>
      <c r="D206" s="68"/>
      <c r="E206" s="69"/>
      <c r="F206" s="70"/>
      <c r="G206" s="67"/>
      <c r="H206" s="71"/>
      <c r="I206" s="72"/>
      <c r="J206" s="72"/>
      <c r="K206" s="35"/>
      <c r="L206" s="80">
        <v>206</v>
      </c>
      <c r="M206" s="80"/>
      <c r="N206" s="74"/>
      <c r="O206" s="82" t="s">
        <v>909</v>
      </c>
      <c r="P206" s="82" t="s">
        <v>197</v>
      </c>
      <c r="Q206" s="85" t="s">
        <v>1113</v>
      </c>
      <c r="R206" s="82" t="s">
        <v>399</v>
      </c>
      <c r="S206" s="82" t="s">
        <v>1865</v>
      </c>
      <c r="T206" s="87" t="str">
        <f>HYPERLINK("http://www.youtube.com/channel/UCvu1ORatj4p1bd6DC_9qi6w")</f>
        <v>http://www.youtube.com/channel/UCvu1ORatj4p1bd6DC_9qi6w</v>
      </c>
      <c r="U206" s="82"/>
      <c r="V206" s="82" t="s">
        <v>2368</v>
      </c>
      <c r="W206" s="87" t="str">
        <f>HYPERLINK("https://www.youtube.com/watch?v=gLvkWpnzba8")</f>
        <v>https://www.youtube.com/watch?v=gLvkWpnzba8</v>
      </c>
      <c r="X206" s="82" t="s">
        <v>2384</v>
      </c>
      <c r="Y206" s="82">
        <v>0</v>
      </c>
      <c r="Z206" s="89">
        <v>45265.59153935185</v>
      </c>
      <c r="AA206" s="89">
        <v>45265.59153935185</v>
      </c>
      <c r="AB206" s="82"/>
      <c r="AC206" s="82"/>
      <c r="AD206" s="85" t="s">
        <v>2423</v>
      </c>
      <c r="AE206" s="84" t="str">
        <f>REPLACE(INDEX(GroupVertices[Group],MATCH("~"&amp;Edges[[#This Row],[Vertex 1]],GroupVertices[Vertex],0)),1,1,"")</f>
        <v>4</v>
      </c>
      <c r="AF206" s="84" t="str">
        <f>REPLACE(INDEX(GroupVertices[Group],MATCH("~"&amp;Edges[[#This Row],[Vertex 2]],GroupVertices[Vertex],0)),1,1,"")</f>
        <v>6</v>
      </c>
    </row>
    <row r="207" spans="1:32" ht="15">
      <c r="A207" s="66" t="s">
        <v>399</v>
      </c>
      <c r="B207" s="66" t="s">
        <v>902</v>
      </c>
      <c r="C207" s="67"/>
      <c r="D207" s="68"/>
      <c r="E207" s="69"/>
      <c r="F207" s="70"/>
      <c r="G207" s="67"/>
      <c r="H207" s="71"/>
      <c r="I207" s="72"/>
      <c r="J207" s="72"/>
      <c r="K207" s="35"/>
      <c r="L207" s="80">
        <v>207</v>
      </c>
      <c r="M207" s="80"/>
      <c r="N207" s="74"/>
      <c r="O207" s="82" t="s">
        <v>909</v>
      </c>
      <c r="P207" s="82" t="s">
        <v>197</v>
      </c>
      <c r="Q207" s="85" t="s">
        <v>1114</v>
      </c>
      <c r="R207" s="82" t="s">
        <v>399</v>
      </c>
      <c r="S207" s="82" t="s">
        <v>1865</v>
      </c>
      <c r="T207" s="87" t="str">
        <f>HYPERLINK("http://www.youtube.com/channel/UCvu1ORatj4p1bd6DC_9qi6w")</f>
        <v>http://www.youtube.com/channel/UCvu1ORatj4p1bd6DC_9qi6w</v>
      </c>
      <c r="U207" s="82"/>
      <c r="V207" s="82" t="s">
        <v>2369</v>
      </c>
      <c r="W207" s="87" t="str">
        <f aca="true" t="shared" si="8" ref="W207:W246">HYPERLINK("https://www.youtube.com/watch?v=E39neWnw9AA")</f>
        <v>https://www.youtube.com/watch?v=E39neWnw9AA</v>
      </c>
      <c r="X207" s="82" t="s">
        <v>2384</v>
      </c>
      <c r="Y207" s="82">
        <v>0</v>
      </c>
      <c r="Z207" s="89">
        <v>45265.590578703705</v>
      </c>
      <c r="AA207" s="89">
        <v>45265.590578703705</v>
      </c>
      <c r="AB207" s="82"/>
      <c r="AC207" s="82"/>
      <c r="AD207" s="85" t="s">
        <v>2423</v>
      </c>
      <c r="AE207" s="84" t="str">
        <f>REPLACE(INDEX(GroupVertices[Group],MATCH("~"&amp;Edges[[#This Row],[Vertex 1]],GroupVertices[Vertex],0)),1,1,"")</f>
        <v>4</v>
      </c>
      <c r="AF207" s="84" t="str">
        <f>REPLACE(INDEX(GroupVertices[Group],MATCH("~"&amp;Edges[[#This Row],[Vertex 2]],GroupVertices[Vertex],0)),1,1,"")</f>
        <v>4</v>
      </c>
    </row>
    <row r="208" spans="1:32" ht="15">
      <c r="A208" s="66" t="s">
        <v>400</v>
      </c>
      <c r="B208" s="66" t="s">
        <v>902</v>
      </c>
      <c r="C208" s="67"/>
      <c r="D208" s="68"/>
      <c r="E208" s="69"/>
      <c r="F208" s="70"/>
      <c r="G208" s="67"/>
      <c r="H208" s="71"/>
      <c r="I208" s="72"/>
      <c r="J208" s="72"/>
      <c r="K208" s="35"/>
      <c r="L208" s="80">
        <v>208</v>
      </c>
      <c r="M208" s="80"/>
      <c r="N208" s="74"/>
      <c r="O208" s="82" t="s">
        <v>909</v>
      </c>
      <c r="P208" s="82" t="s">
        <v>197</v>
      </c>
      <c r="Q208" s="85" t="s">
        <v>1115</v>
      </c>
      <c r="R208" s="82" t="s">
        <v>400</v>
      </c>
      <c r="S208" s="82" t="s">
        <v>1866</v>
      </c>
      <c r="T208" s="87" t="str">
        <f>HYPERLINK("http://www.youtube.com/channel/UCHC7WuQHn1-DAIROJrZaW7g")</f>
        <v>http://www.youtube.com/channel/UCHC7WuQHn1-DAIROJrZaW7g</v>
      </c>
      <c r="U208" s="82"/>
      <c r="V208" s="82" t="s">
        <v>2369</v>
      </c>
      <c r="W208" s="87" t="str">
        <f t="shared" si="8"/>
        <v>https://www.youtube.com/watch?v=E39neWnw9AA</v>
      </c>
      <c r="X208" s="82" t="s">
        <v>2384</v>
      </c>
      <c r="Y208" s="82">
        <v>0</v>
      </c>
      <c r="Z208" s="89">
        <v>45265.949837962966</v>
      </c>
      <c r="AA208" s="89">
        <v>45265.949837962966</v>
      </c>
      <c r="AB208" s="82"/>
      <c r="AC208" s="82"/>
      <c r="AD208" s="85" t="s">
        <v>2423</v>
      </c>
      <c r="AE208" s="84" t="str">
        <f>REPLACE(INDEX(GroupVertices[Group],MATCH("~"&amp;Edges[[#This Row],[Vertex 1]],GroupVertices[Vertex],0)),1,1,"")</f>
        <v>4</v>
      </c>
      <c r="AF208" s="84" t="str">
        <f>REPLACE(INDEX(GroupVertices[Group],MATCH("~"&amp;Edges[[#This Row],[Vertex 2]],GroupVertices[Vertex],0)),1,1,"")</f>
        <v>4</v>
      </c>
    </row>
    <row r="209" spans="1:32" ht="15">
      <c r="A209" s="66" t="s">
        <v>401</v>
      </c>
      <c r="B209" s="66" t="s">
        <v>902</v>
      </c>
      <c r="C209" s="67"/>
      <c r="D209" s="68"/>
      <c r="E209" s="69"/>
      <c r="F209" s="70"/>
      <c r="G209" s="67"/>
      <c r="H209" s="71"/>
      <c r="I209" s="72"/>
      <c r="J209" s="72"/>
      <c r="K209" s="35"/>
      <c r="L209" s="80">
        <v>209</v>
      </c>
      <c r="M209" s="80"/>
      <c r="N209" s="74"/>
      <c r="O209" s="82" t="s">
        <v>909</v>
      </c>
      <c r="P209" s="82" t="s">
        <v>197</v>
      </c>
      <c r="Q209" s="85" t="s">
        <v>1116</v>
      </c>
      <c r="R209" s="82" t="s">
        <v>401</v>
      </c>
      <c r="S209" s="82" t="s">
        <v>1867</v>
      </c>
      <c r="T209" s="87" t="str">
        <f>HYPERLINK("http://www.youtube.com/channel/UC9aYO_wkXbHlOi4qbx4vVTg")</f>
        <v>http://www.youtube.com/channel/UC9aYO_wkXbHlOi4qbx4vVTg</v>
      </c>
      <c r="U209" s="82"/>
      <c r="V209" s="82" t="s">
        <v>2369</v>
      </c>
      <c r="W209" s="87" t="str">
        <f t="shared" si="8"/>
        <v>https://www.youtube.com/watch?v=E39neWnw9AA</v>
      </c>
      <c r="X209" s="82" t="s">
        <v>2384</v>
      </c>
      <c r="Y209" s="82">
        <v>0</v>
      </c>
      <c r="Z209" s="89">
        <v>45265.99946759259</v>
      </c>
      <c r="AA209" s="89">
        <v>45265.99946759259</v>
      </c>
      <c r="AB209" s="82"/>
      <c r="AC209" s="82"/>
      <c r="AD209" s="85" t="s">
        <v>2423</v>
      </c>
      <c r="AE209" s="84" t="str">
        <f>REPLACE(INDEX(GroupVertices[Group],MATCH("~"&amp;Edges[[#This Row],[Vertex 1]],GroupVertices[Vertex],0)),1,1,"")</f>
        <v>4</v>
      </c>
      <c r="AF209" s="84" t="str">
        <f>REPLACE(INDEX(GroupVertices[Group],MATCH("~"&amp;Edges[[#This Row],[Vertex 2]],GroupVertices[Vertex],0)),1,1,"")</f>
        <v>4</v>
      </c>
    </row>
    <row r="210" spans="1:32" ht="15">
      <c r="A210" s="66" t="s">
        <v>402</v>
      </c>
      <c r="B210" s="66" t="s">
        <v>902</v>
      </c>
      <c r="C210" s="67"/>
      <c r="D210" s="68"/>
      <c r="E210" s="69"/>
      <c r="F210" s="70"/>
      <c r="G210" s="67"/>
      <c r="H210" s="71"/>
      <c r="I210" s="72"/>
      <c r="J210" s="72"/>
      <c r="K210" s="35"/>
      <c r="L210" s="80">
        <v>210</v>
      </c>
      <c r="M210" s="80"/>
      <c r="N210" s="74"/>
      <c r="O210" s="82" t="s">
        <v>909</v>
      </c>
      <c r="P210" s="82" t="s">
        <v>197</v>
      </c>
      <c r="Q210" s="85" t="s">
        <v>1117</v>
      </c>
      <c r="R210" s="82" t="s">
        <v>402</v>
      </c>
      <c r="S210" s="82" t="s">
        <v>1868</v>
      </c>
      <c r="T210" s="87" t="str">
        <f>HYPERLINK("http://www.youtube.com/channel/UCBfmomeh4ZXMtw3GsQgaKoA")</f>
        <v>http://www.youtube.com/channel/UCBfmomeh4ZXMtw3GsQgaKoA</v>
      </c>
      <c r="U210" s="82"/>
      <c r="V210" s="82" t="s">
        <v>2369</v>
      </c>
      <c r="W210" s="87" t="str">
        <f t="shared" si="8"/>
        <v>https://www.youtube.com/watch?v=E39neWnw9AA</v>
      </c>
      <c r="X210" s="82" t="s">
        <v>2384</v>
      </c>
      <c r="Y210" s="82">
        <v>0</v>
      </c>
      <c r="Z210" s="89">
        <v>45266.187268518515</v>
      </c>
      <c r="AA210" s="89">
        <v>45266.187268518515</v>
      </c>
      <c r="AB210" s="82"/>
      <c r="AC210" s="82"/>
      <c r="AD210" s="85" t="s">
        <v>2423</v>
      </c>
      <c r="AE210" s="84" t="str">
        <f>REPLACE(INDEX(GroupVertices[Group],MATCH("~"&amp;Edges[[#This Row],[Vertex 1]],GroupVertices[Vertex],0)),1,1,"")</f>
        <v>4</v>
      </c>
      <c r="AF210" s="84" t="str">
        <f>REPLACE(INDEX(GroupVertices[Group],MATCH("~"&amp;Edges[[#This Row],[Vertex 2]],GroupVertices[Vertex],0)),1,1,"")</f>
        <v>4</v>
      </c>
    </row>
    <row r="211" spans="1:32" ht="15">
      <c r="A211" s="66" t="s">
        <v>403</v>
      </c>
      <c r="B211" s="66" t="s">
        <v>902</v>
      </c>
      <c r="C211" s="67"/>
      <c r="D211" s="68"/>
      <c r="E211" s="69"/>
      <c r="F211" s="70"/>
      <c r="G211" s="67"/>
      <c r="H211" s="71"/>
      <c r="I211" s="72"/>
      <c r="J211" s="72"/>
      <c r="K211" s="35"/>
      <c r="L211" s="80">
        <v>211</v>
      </c>
      <c r="M211" s="80"/>
      <c r="N211" s="74"/>
      <c r="O211" s="82" t="s">
        <v>909</v>
      </c>
      <c r="P211" s="82" t="s">
        <v>197</v>
      </c>
      <c r="Q211" s="85" t="s">
        <v>1118</v>
      </c>
      <c r="R211" s="82" t="s">
        <v>403</v>
      </c>
      <c r="S211" s="82" t="s">
        <v>1869</v>
      </c>
      <c r="T211" s="87" t="str">
        <f>HYPERLINK("http://www.youtube.com/channel/UC5KiZOdnm5Mv2Siq_mFqdWA")</f>
        <v>http://www.youtube.com/channel/UC5KiZOdnm5Mv2Siq_mFqdWA</v>
      </c>
      <c r="U211" s="82"/>
      <c r="V211" s="82" t="s">
        <v>2369</v>
      </c>
      <c r="W211" s="87" t="str">
        <f t="shared" si="8"/>
        <v>https://www.youtube.com/watch?v=E39neWnw9AA</v>
      </c>
      <c r="X211" s="82" t="s">
        <v>2384</v>
      </c>
      <c r="Y211" s="82">
        <v>0</v>
      </c>
      <c r="Z211" s="89">
        <v>45266.27552083333</v>
      </c>
      <c r="AA211" s="89">
        <v>45266.27552083333</v>
      </c>
      <c r="AB211" s="82"/>
      <c r="AC211" s="82"/>
      <c r="AD211" s="85" t="s">
        <v>2423</v>
      </c>
      <c r="AE211" s="84" t="str">
        <f>REPLACE(INDEX(GroupVertices[Group],MATCH("~"&amp;Edges[[#This Row],[Vertex 1]],GroupVertices[Vertex],0)),1,1,"")</f>
        <v>4</v>
      </c>
      <c r="AF211" s="84" t="str">
        <f>REPLACE(INDEX(GroupVertices[Group],MATCH("~"&amp;Edges[[#This Row],[Vertex 2]],GroupVertices[Vertex],0)),1,1,"")</f>
        <v>4</v>
      </c>
    </row>
    <row r="212" spans="1:32" ht="15">
      <c r="A212" s="66" t="s">
        <v>404</v>
      </c>
      <c r="B212" s="66" t="s">
        <v>902</v>
      </c>
      <c r="C212" s="67"/>
      <c r="D212" s="68"/>
      <c r="E212" s="69"/>
      <c r="F212" s="70"/>
      <c r="G212" s="67"/>
      <c r="H212" s="71"/>
      <c r="I212" s="72"/>
      <c r="J212" s="72"/>
      <c r="K212" s="35"/>
      <c r="L212" s="80">
        <v>212</v>
      </c>
      <c r="M212" s="80"/>
      <c r="N212" s="74"/>
      <c r="O212" s="82" t="s">
        <v>909</v>
      </c>
      <c r="P212" s="82" t="s">
        <v>197</v>
      </c>
      <c r="Q212" s="85" t="s">
        <v>1119</v>
      </c>
      <c r="R212" s="82" t="s">
        <v>404</v>
      </c>
      <c r="S212" s="82" t="s">
        <v>1870</v>
      </c>
      <c r="T212" s="87" t="str">
        <f>HYPERLINK("http://www.youtube.com/channel/UCxXGHaNmd9ZZ1kEv2xLpRCQ")</f>
        <v>http://www.youtube.com/channel/UCxXGHaNmd9ZZ1kEv2xLpRCQ</v>
      </c>
      <c r="U212" s="82"/>
      <c r="V212" s="82" t="s">
        <v>2369</v>
      </c>
      <c r="W212" s="87" t="str">
        <f t="shared" si="8"/>
        <v>https://www.youtube.com/watch?v=E39neWnw9AA</v>
      </c>
      <c r="X212" s="82" t="s">
        <v>2384</v>
      </c>
      <c r="Y212" s="82">
        <v>0</v>
      </c>
      <c r="Z212" s="89">
        <v>45266.47262731481</v>
      </c>
      <c r="AA212" s="89">
        <v>45266.47262731481</v>
      </c>
      <c r="AB212" s="82"/>
      <c r="AC212" s="82"/>
      <c r="AD212" s="85" t="s">
        <v>2423</v>
      </c>
      <c r="AE212" s="84" t="str">
        <f>REPLACE(INDEX(GroupVertices[Group],MATCH("~"&amp;Edges[[#This Row],[Vertex 1]],GroupVertices[Vertex],0)),1,1,"")</f>
        <v>4</v>
      </c>
      <c r="AF212" s="84" t="str">
        <f>REPLACE(INDEX(GroupVertices[Group],MATCH("~"&amp;Edges[[#This Row],[Vertex 2]],GroupVertices[Vertex],0)),1,1,"")</f>
        <v>4</v>
      </c>
    </row>
    <row r="213" spans="1:32" ht="15">
      <c r="A213" s="66" t="s">
        <v>405</v>
      </c>
      <c r="B213" s="66" t="s">
        <v>902</v>
      </c>
      <c r="C213" s="67"/>
      <c r="D213" s="68"/>
      <c r="E213" s="69"/>
      <c r="F213" s="70"/>
      <c r="G213" s="67"/>
      <c r="H213" s="71"/>
      <c r="I213" s="72"/>
      <c r="J213" s="72"/>
      <c r="K213" s="35"/>
      <c r="L213" s="80">
        <v>213</v>
      </c>
      <c r="M213" s="80"/>
      <c r="N213" s="74"/>
      <c r="O213" s="82" t="s">
        <v>909</v>
      </c>
      <c r="P213" s="82" t="s">
        <v>197</v>
      </c>
      <c r="Q213" s="85" t="s">
        <v>1120</v>
      </c>
      <c r="R213" s="82" t="s">
        <v>405</v>
      </c>
      <c r="S213" s="82" t="s">
        <v>1871</v>
      </c>
      <c r="T213" s="87" t="str">
        <f>HYPERLINK("http://www.youtube.com/channel/UCgaF6bm2pAi1j44jwXvrXMQ")</f>
        <v>http://www.youtube.com/channel/UCgaF6bm2pAi1j44jwXvrXMQ</v>
      </c>
      <c r="U213" s="82"/>
      <c r="V213" s="82" t="s">
        <v>2369</v>
      </c>
      <c r="W213" s="87" t="str">
        <f t="shared" si="8"/>
        <v>https://www.youtube.com/watch?v=E39neWnw9AA</v>
      </c>
      <c r="X213" s="82" t="s">
        <v>2384</v>
      </c>
      <c r="Y213" s="82">
        <v>0</v>
      </c>
      <c r="Z213" s="89">
        <v>45266.533900462964</v>
      </c>
      <c r="AA213" s="89">
        <v>45266.533900462964</v>
      </c>
      <c r="AB213" s="82"/>
      <c r="AC213" s="82"/>
      <c r="AD213" s="85" t="s">
        <v>2423</v>
      </c>
      <c r="AE213" s="84" t="str">
        <f>REPLACE(INDEX(GroupVertices[Group],MATCH("~"&amp;Edges[[#This Row],[Vertex 1]],GroupVertices[Vertex],0)),1,1,"")</f>
        <v>4</v>
      </c>
      <c r="AF213" s="84" t="str">
        <f>REPLACE(INDEX(GroupVertices[Group],MATCH("~"&amp;Edges[[#This Row],[Vertex 2]],GroupVertices[Vertex],0)),1,1,"")</f>
        <v>4</v>
      </c>
    </row>
    <row r="214" spans="1:32" ht="15">
      <c r="A214" s="66" t="s">
        <v>406</v>
      </c>
      <c r="B214" s="66" t="s">
        <v>902</v>
      </c>
      <c r="C214" s="67"/>
      <c r="D214" s="68"/>
      <c r="E214" s="69"/>
      <c r="F214" s="70"/>
      <c r="G214" s="67"/>
      <c r="H214" s="71"/>
      <c r="I214" s="72"/>
      <c r="J214" s="72"/>
      <c r="K214" s="35"/>
      <c r="L214" s="80">
        <v>214</v>
      </c>
      <c r="M214" s="80"/>
      <c r="N214" s="74"/>
      <c r="O214" s="82" t="s">
        <v>909</v>
      </c>
      <c r="P214" s="82" t="s">
        <v>197</v>
      </c>
      <c r="Q214" s="85" t="s">
        <v>1121</v>
      </c>
      <c r="R214" s="82" t="s">
        <v>406</v>
      </c>
      <c r="S214" s="82" t="s">
        <v>1872</v>
      </c>
      <c r="T214" s="87" t="str">
        <f>HYPERLINK("http://www.youtube.com/channel/UC_rXV3aoif5qiDC5VzFjINQ")</f>
        <v>http://www.youtube.com/channel/UC_rXV3aoif5qiDC5VzFjINQ</v>
      </c>
      <c r="U214" s="82"/>
      <c r="V214" s="82" t="s">
        <v>2369</v>
      </c>
      <c r="W214" s="87" t="str">
        <f t="shared" si="8"/>
        <v>https://www.youtube.com/watch?v=E39neWnw9AA</v>
      </c>
      <c r="X214" s="82" t="s">
        <v>2384</v>
      </c>
      <c r="Y214" s="82">
        <v>0</v>
      </c>
      <c r="Z214" s="89">
        <v>45266.559282407405</v>
      </c>
      <c r="AA214" s="89">
        <v>45266.559282407405</v>
      </c>
      <c r="AB214" s="82"/>
      <c r="AC214" s="82"/>
      <c r="AD214" s="85" t="s">
        <v>2423</v>
      </c>
      <c r="AE214" s="84" t="str">
        <f>REPLACE(INDEX(GroupVertices[Group],MATCH("~"&amp;Edges[[#This Row],[Vertex 1]],GroupVertices[Vertex],0)),1,1,"")</f>
        <v>4</v>
      </c>
      <c r="AF214" s="84" t="str">
        <f>REPLACE(INDEX(GroupVertices[Group],MATCH("~"&amp;Edges[[#This Row],[Vertex 2]],GroupVertices[Vertex],0)),1,1,"")</f>
        <v>4</v>
      </c>
    </row>
    <row r="215" spans="1:32" ht="15">
      <c r="A215" s="66" t="s">
        <v>407</v>
      </c>
      <c r="B215" s="66" t="s">
        <v>902</v>
      </c>
      <c r="C215" s="67"/>
      <c r="D215" s="68"/>
      <c r="E215" s="69"/>
      <c r="F215" s="70"/>
      <c r="G215" s="67"/>
      <c r="H215" s="71"/>
      <c r="I215" s="72"/>
      <c r="J215" s="72"/>
      <c r="K215" s="35"/>
      <c r="L215" s="80">
        <v>215</v>
      </c>
      <c r="M215" s="80"/>
      <c r="N215" s="74"/>
      <c r="O215" s="82" t="s">
        <v>909</v>
      </c>
      <c r="P215" s="82" t="s">
        <v>197</v>
      </c>
      <c r="Q215" s="85" t="s">
        <v>1122</v>
      </c>
      <c r="R215" s="82" t="s">
        <v>407</v>
      </c>
      <c r="S215" s="82" t="s">
        <v>1873</v>
      </c>
      <c r="T215" s="87" t="str">
        <f>HYPERLINK("http://www.youtube.com/channel/UCe6YYGnAeOL0sII2mcyMy_A")</f>
        <v>http://www.youtube.com/channel/UCe6YYGnAeOL0sII2mcyMy_A</v>
      </c>
      <c r="U215" s="82"/>
      <c r="V215" s="82" t="s">
        <v>2369</v>
      </c>
      <c r="W215" s="87" t="str">
        <f t="shared" si="8"/>
        <v>https://www.youtube.com/watch?v=E39neWnw9AA</v>
      </c>
      <c r="X215" s="82" t="s">
        <v>2384</v>
      </c>
      <c r="Y215" s="82">
        <v>0</v>
      </c>
      <c r="Z215" s="89">
        <v>45266.57592592593</v>
      </c>
      <c r="AA215" s="89">
        <v>45266.57592592593</v>
      </c>
      <c r="AB215" s="82"/>
      <c r="AC215" s="82"/>
      <c r="AD215" s="85" t="s">
        <v>2423</v>
      </c>
      <c r="AE215" s="84" t="str">
        <f>REPLACE(INDEX(GroupVertices[Group],MATCH("~"&amp;Edges[[#This Row],[Vertex 1]],GroupVertices[Vertex],0)),1,1,"")</f>
        <v>4</v>
      </c>
      <c r="AF215" s="84" t="str">
        <f>REPLACE(INDEX(GroupVertices[Group],MATCH("~"&amp;Edges[[#This Row],[Vertex 2]],GroupVertices[Vertex],0)),1,1,"")</f>
        <v>4</v>
      </c>
    </row>
    <row r="216" spans="1:32" ht="15">
      <c r="A216" s="66" t="s">
        <v>408</v>
      </c>
      <c r="B216" s="66" t="s">
        <v>902</v>
      </c>
      <c r="C216" s="67"/>
      <c r="D216" s="68"/>
      <c r="E216" s="69"/>
      <c r="F216" s="70"/>
      <c r="G216" s="67"/>
      <c r="H216" s="71"/>
      <c r="I216" s="72"/>
      <c r="J216" s="72"/>
      <c r="K216" s="35"/>
      <c r="L216" s="80">
        <v>216</v>
      </c>
      <c r="M216" s="80"/>
      <c r="N216" s="74"/>
      <c r="O216" s="82" t="s">
        <v>909</v>
      </c>
      <c r="P216" s="82" t="s">
        <v>197</v>
      </c>
      <c r="Q216" s="85" t="s">
        <v>1123</v>
      </c>
      <c r="R216" s="82" t="s">
        <v>408</v>
      </c>
      <c r="S216" s="82" t="s">
        <v>1874</v>
      </c>
      <c r="T216" s="87" t="str">
        <f>HYPERLINK("http://www.youtube.com/channel/UCJsL_3n8QFAkX6y9uu7PN5Q")</f>
        <v>http://www.youtube.com/channel/UCJsL_3n8QFAkX6y9uu7PN5Q</v>
      </c>
      <c r="U216" s="82"/>
      <c r="V216" s="82" t="s">
        <v>2369</v>
      </c>
      <c r="W216" s="87" t="str">
        <f t="shared" si="8"/>
        <v>https://www.youtube.com/watch?v=E39neWnw9AA</v>
      </c>
      <c r="X216" s="82" t="s">
        <v>2384</v>
      </c>
      <c r="Y216" s="82">
        <v>0</v>
      </c>
      <c r="Z216" s="89">
        <v>45266.654178240744</v>
      </c>
      <c r="AA216" s="89">
        <v>45267.01273148148</v>
      </c>
      <c r="AB216" s="82"/>
      <c r="AC216" s="82"/>
      <c r="AD216" s="85" t="s">
        <v>2423</v>
      </c>
      <c r="AE216" s="84" t="str">
        <f>REPLACE(INDEX(GroupVertices[Group],MATCH("~"&amp;Edges[[#This Row],[Vertex 1]],GroupVertices[Vertex],0)),1,1,"")</f>
        <v>4</v>
      </c>
      <c r="AF216" s="84" t="str">
        <f>REPLACE(INDEX(GroupVertices[Group],MATCH("~"&amp;Edges[[#This Row],[Vertex 2]],GroupVertices[Vertex],0)),1,1,"")</f>
        <v>4</v>
      </c>
    </row>
    <row r="217" spans="1:32" ht="15">
      <c r="A217" s="66" t="s">
        <v>409</v>
      </c>
      <c r="B217" s="66" t="s">
        <v>902</v>
      </c>
      <c r="C217" s="67"/>
      <c r="D217" s="68"/>
      <c r="E217" s="69"/>
      <c r="F217" s="70"/>
      <c r="G217" s="67"/>
      <c r="H217" s="71"/>
      <c r="I217" s="72"/>
      <c r="J217" s="72"/>
      <c r="K217" s="35"/>
      <c r="L217" s="80">
        <v>217</v>
      </c>
      <c r="M217" s="80"/>
      <c r="N217" s="74"/>
      <c r="O217" s="82" t="s">
        <v>909</v>
      </c>
      <c r="P217" s="82" t="s">
        <v>197</v>
      </c>
      <c r="Q217" s="85" t="s">
        <v>1124</v>
      </c>
      <c r="R217" s="82" t="s">
        <v>409</v>
      </c>
      <c r="S217" s="82" t="s">
        <v>1875</v>
      </c>
      <c r="T217" s="87" t="str">
        <f>HYPERLINK("http://www.youtube.com/channel/UCYW_oDPEPUXjRuBcVITu0GQ")</f>
        <v>http://www.youtube.com/channel/UCYW_oDPEPUXjRuBcVITu0GQ</v>
      </c>
      <c r="U217" s="82"/>
      <c r="V217" s="82" t="s">
        <v>2369</v>
      </c>
      <c r="W217" s="87" t="str">
        <f t="shared" si="8"/>
        <v>https://www.youtube.com/watch?v=E39neWnw9AA</v>
      </c>
      <c r="X217" s="82" t="s">
        <v>2384</v>
      </c>
      <c r="Y217" s="82">
        <v>0</v>
      </c>
      <c r="Z217" s="89">
        <v>45266.8678125</v>
      </c>
      <c r="AA217" s="89">
        <v>45266.8678125</v>
      </c>
      <c r="AB217" s="82"/>
      <c r="AC217" s="82"/>
      <c r="AD217" s="85" t="s">
        <v>2423</v>
      </c>
      <c r="AE217" s="84" t="str">
        <f>REPLACE(INDEX(GroupVertices[Group],MATCH("~"&amp;Edges[[#This Row],[Vertex 1]],GroupVertices[Vertex],0)),1,1,"")</f>
        <v>4</v>
      </c>
      <c r="AF217" s="84" t="str">
        <f>REPLACE(INDEX(GroupVertices[Group],MATCH("~"&amp;Edges[[#This Row],[Vertex 2]],GroupVertices[Vertex],0)),1,1,"")</f>
        <v>4</v>
      </c>
    </row>
    <row r="218" spans="1:32" ht="15">
      <c r="A218" s="66" t="s">
        <v>409</v>
      </c>
      <c r="B218" s="66" t="s">
        <v>902</v>
      </c>
      <c r="C218" s="67"/>
      <c r="D218" s="68"/>
      <c r="E218" s="69"/>
      <c r="F218" s="70"/>
      <c r="G218" s="67"/>
      <c r="H218" s="71"/>
      <c r="I218" s="72"/>
      <c r="J218" s="72"/>
      <c r="K218" s="35"/>
      <c r="L218" s="80">
        <v>218</v>
      </c>
      <c r="M218" s="80"/>
      <c r="N218" s="74"/>
      <c r="O218" s="82" t="s">
        <v>909</v>
      </c>
      <c r="P218" s="82" t="s">
        <v>197</v>
      </c>
      <c r="Q218" s="85" t="s">
        <v>1125</v>
      </c>
      <c r="R218" s="82" t="s">
        <v>409</v>
      </c>
      <c r="S218" s="82" t="s">
        <v>1875</v>
      </c>
      <c r="T218" s="87" t="str">
        <f>HYPERLINK("http://www.youtube.com/channel/UCYW_oDPEPUXjRuBcVITu0GQ")</f>
        <v>http://www.youtube.com/channel/UCYW_oDPEPUXjRuBcVITu0GQ</v>
      </c>
      <c r="U218" s="82"/>
      <c r="V218" s="82" t="s">
        <v>2369</v>
      </c>
      <c r="W218" s="87" t="str">
        <f t="shared" si="8"/>
        <v>https://www.youtube.com/watch?v=E39neWnw9AA</v>
      </c>
      <c r="X218" s="82" t="s">
        <v>2384</v>
      </c>
      <c r="Y218" s="82">
        <v>0</v>
      </c>
      <c r="Z218" s="89">
        <v>45266.87210648148</v>
      </c>
      <c r="AA218" s="89">
        <v>45266.87210648148</v>
      </c>
      <c r="AB218" s="82"/>
      <c r="AC218" s="82"/>
      <c r="AD218" s="85" t="s">
        <v>2423</v>
      </c>
      <c r="AE218" s="84" t="str">
        <f>REPLACE(INDEX(GroupVertices[Group],MATCH("~"&amp;Edges[[#This Row],[Vertex 1]],GroupVertices[Vertex],0)),1,1,"")</f>
        <v>4</v>
      </c>
      <c r="AF218" s="84" t="str">
        <f>REPLACE(INDEX(GroupVertices[Group],MATCH("~"&amp;Edges[[#This Row],[Vertex 2]],GroupVertices[Vertex],0)),1,1,"")</f>
        <v>4</v>
      </c>
    </row>
    <row r="219" spans="1:32" ht="15">
      <c r="A219" s="66" t="s">
        <v>410</v>
      </c>
      <c r="B219" s="66" t="s">
        <v>902</v>
      </c>
      <c r="C219" s="67"/>
      <c r="D219" s="68"/>
      <c r="E219" s="69"/>
      <c r="F219" s="70"/>
      <c r="G219" s="67"/>
      <c r="H219" s="71"/>
      <c r="I219" s="72"/>
      <c r="J219" s="72"/>
      <c r="K219" s="35"/>
      <c r="L219" s="80">
        <v>219</v>
      </c>
      <c r="M219" s="80"/>
      <c r="N219" s="74"/>
      <c r="O219" s="82" t="s">
        <v>909</v>
      </c>
      <c r="P219" s="82" t="s">
        <v>197</v>
      </c>
      <c r="Q219" s="85" t="s">
        <v>1126</v>
      </c>
      <c r="R219" s="82" t="s">
        <v>410</v>
      </c>
      <c r="S219" s="82" t="s">
        <v>1876</v>
      </c>
      <c r="T219" s="87" t="str">
        <f>HYPERLINK("http://www.youtube.com/channel/UCRNVgDOhMueAD2i9no4xweA")</f>
        <v>http://www.youtube.com/channel/UCRNVgDOhMueAD2i9no4xweA</v>
      </c>
      <c r="U219" s="82"/>
      <c r="V219" s="82" t="s">
        <v>2369</v>
      </c>
      <c r="W219" s="87" t="str">
        <f t="shared" si="8"/>
        <v>https://www.youtube.com/watch?v=E39neWnw9AA</v>
      </c>
      <c r="X219" s="82" t="s">
        <v>2384</v>
      </c>
      <c r="Y219" s="82">
        <v>7</v>
      </c>
      <c r="Z219" s="89">
        <v>45267.067511574074</v>
      </c>
      <c r="AA219" s="89">
        <v>45267.067511574074</v>
      </c>
      <c r="AB219" s="82"/>
      <c r="AC219" s="82"/>
      <c r="AD219" s="85" t="s">
        <v>2423</v>
      </c>
      <c r="AE219" s="84" t="str">
        <f>REPLACE(INDEX(GroupVertices[Group],MATCH("~"&amp;Edges[[#This Row],[Vertex 1]],GroupVertices[Vertex],0)),1,1,"")</f>
        <v>4</v>
      </c>
      <c r="AF219" s="84" t="str">
        <f>REPLACE(INDEX(GroupVertices[Group],MATCH("~"&amp;Edges[[#This Row],[Vertex 2]],GroupVertices[Vertex],0)),1,1,"")</f>
        <v>4</v>
      </c>
    </row>
    <row r="220" spans="1:32" ht="15">
      <c r="A220" s="66" t="s">
        <v>411</v>
      </c>
      <c r="B220" s="66" t="s">
        <v>902</v>
      </c>
      <c r="C220" s="67"/>
      <c r="D220" s="68"/>
      <c r="E220" s="69"/>
      <c r="F220" s="70"/>
      <c r="G220" s="67"/>
      <c r="H220" s="71"/>
      <c r="I220" s="72"/>
      <c r="J220" s="72"/>
      <c r="K220" s="35"/>
      <c r="L220" s="80">
        <v>220</v>
      </c>
      <c r="M220" s="80"/>
      <c r="N220" s="74"/>
      <c r="O220" s="82" t="s">
        <v>909</v>
      </c>
      <c r="P220" s="82" t="s">
        <v>197</v>
      </c>
      <c r="Q220" s="85" t="s">
        <v>1127</v>
      </c>
      <c r="R220" s="82" t="s">
        <v>411</v>
      </c>
      <c r="S220" s="82" t="s">
        <v>1877</v>
      </c>
      <c r="T220" s="87" t="str">
        <f>HYPERLINK("http://www.youtube.com/channel/UCa3zsGZ41DR7O7qa_N1jMiA")</f>
        <v>http://www.youtube.com/channel/UCa3zsGZ41DR7O7qa_N1jMiA</v>
      </c>
      <c r="U220" s="82"/>
      <c r="V220" s="82" t="s">
        <v>2369</v>
      </c>
      <c r="W220" s="87" t="str">
        <f t="shared" si="8"/>
        <v>https://www.youtube.com/watch?v=E39neWnw9AA</v>
      </c>
      <c r="X220" s="82" t="s">
        <v>2384</v>
      </c>
      <c r="Y220" s="82">
        <v>1</v>
      </c>
      <c r="Z220" s="89">
        <v>45267.11697916667</v>
      </c>
      <c r="AA220" s="89">
        <v>45267.11697916667</v>
      </c>
      <c r="AB220" s="82"/>
      <c r="AC220" s="82"/>
      <c r="AD220" s="85" t="s">
        <v>2423</v>
      </c>
      <c r="AE220" s="84" t="str">
        <f>REPLACE(INDEX(GroupVertices[Group],MATCH("~"&amp;Edges[[#This Row],[Vertex 1]],GroupVertices[Vertex],0)),1,1,"")</f>
        <v>4</v>
      </c>
      <c r="AF220" s="84" t="str">
        <f>REPLACE(INDEX(GroupVertices[Group],MATCH("~"&amp;Edges[[#This Row],[Vertex 2]],GroupVertices[Vertex],0)),1,1,"")</f>
        <v>4</v>
      </c>
    </row>
    <row r="221" spans="1:32" ht="15">
      <c r="A221" s="66" t="s">
        <v>412</v>
      </c>
      <c r="B221" s="66" t="s">
        <v>902</v>
      </c>
      <c r="C221" s="67"/>
      <c r="D221" s="68"/>
      <c r="E221" s="69"/>
      <c r="F221" s="70"/>
      <c r="G221" s="67"/>
      <c r="H221" s="71"/>
      <c r="I221" s="72"/>
      <c r="J221" s="72"/>
      <c r="K221" s="35"/>
      <c r="L221" s="80">
        <v>221</v>
      </c>
      <c r="M221" s="80"/>
      <c r="N221" s="74"/>
      <c r="O221" s="82" t="s">
        <v>909</v>
      </c>
      <c r="P221" s="82" t="s">
        <v>197</v>
      </c>
      <c r="Q221" s="85" t="s">
        <v>1128</v>
      </c>
      <c r="R221" s="82" t="s">
        <v>412</v>
      </c>
      <c r="S221" s="82" t="s">
        <v>1878</v>
      </c>
      <c r="T221" s="87" t="str">
        <f>HYPERLINK("http://www.youtube.com/channel/UCCrYiy7pTlMUN97K7vnmz7g")</f>
        <v>http://www.youtube.com/channel/UCCrYiy7pTlMUN97K7vnmz7g</v>
      </c>
      <c r="U221" s="82"/>
      <c r="V221" s="82" t="s">
        <v>2369</v>
      </c>
      <c r="W221" s="87" t="str">
        <f t="shared" si="8"/>
        <v>https://www.youtube.com/watch?v=E39neWnw9AA</v>
      </c>
      <c r="X221" s="82" t="s">
        <v>2384</v>
      </c>
      <c r="Y221" s="82">
        <v>0</v>
      </c>
      <c r="Z221" s="89">
        <v>45268.06122685185</v>
      </c>
      <c r="AA221" s="89">
        <v>45268.06122685185</v>
      </c>
      <c r="AB221" s="82"/>
      <c r="AC221" s="82"/>
      <c r="AD221" s="85" t="s">
        <v>2423</v>
      </c>
      <c r="AE221" s="84" t="str">
        <f>REPLACE(INDEX(GroupVertices[Group],MATCH("~"&amp;Edges[[#This Row],[Vertex 1]],GroupVertices[Vertex],0)),1,1,"")</f>
        <v>4</v>
      </c>
      <c r="AF221" s="84" t="str">
        <f>REPLACE(INDEX(GroupVertices[Group],MATCH("~"&amp;Edges[[#This Row],[Vertex 2]],GroupVertices[Vertex],0)),1,1,"")</f>
        <v>4</v>
      </c>
    </row>
    <row r="222" spans="1:32" ht="15">
      <c r="A222" s="66" t="s">
        <v>413</v>
      </c>
      <c r="B222" s="66" t="s">
        <v>902</v>
      </c>
      <c r="C222" s="67"/>
      <c r="D222" s="68"/>
      <c r="E222" s="69"/>
      <c r="F222" s="70"/>
      <c r="G222" s="67"/>
      <c r="H222" s="71"/>
      <c r="I222" s="72"/>
      <c r="J222" s="72"/>
      <c r="K222" s="35"/>
      <c r="L222" s="80">
        <v>222</v>
      </c>
      <c r="M222" s="80"/>
      <c r="N222" s="74"/>
      <c r="O222" s="82" t="s">
        <v>909</v>
      </c>
      <c r="P222" s="82" t="s">
        <v>197</v>
      </c>
      <c r="Q222" s="85" t="s">
        <v>1129</v>
      </c>
      <c r="R222" s="82" t="s">
        <v>413</v>
      </c>
      <c r="S222" s="82" t="s">
        <v>1879</v>
      </c>
      <c r="T222" s="87" t="str">
        <f>HYPERLINK("http://www.youtube.com/channel/UCw-bBmVgiyfdrtvOnpd9sSA")</f>
        <v>http://www.youtube.com/channel/UCw-bBmVgiyfdrtvOnpd9sSA</v>
      </c>
      <c r="U222" s="82"/>
      <c r="V222" s="82" t="s">
        <v>2369</v>
      </c>
      <c r="W222" s="87" t="str">
        <f t="shared" si="8"/>
        <v>https://www.youtube.com/watch?v=E39neWnw9AA</v>
      </c>
      <c r="X222" s="82" t="s">
        <v>2384</v>
      </c>
      <c r="Y222" s="82">
        <v>0</v>
      </c>
      <c r="Z222" s="89">
        <v>45268.58075231482</v>
      </c>
      <c r="AA222" s="89">
        <v>45268.58075231482</v>
      </c>
      <c r="AB222" s="82"/>
      <c r="AC222" s="82"/>
      <c r="AD222" s="85" t="s">
        <v>2423</v>
      </c>
      <c r="AE222" s="84" t="str">
        <f>REPLACE(INDEX(GroupVertices[Group],MATCH("~"&amp;Edges[[#This Row],[Vertex 1]],GroupVertices[Vertex],0)),1,1,"")</f>
        <v>4</v>
      </c>
      <c r="AF222" s="84" t="str">
        <f>REPLACE(INDEX(GroupVertices[Group],MATCH("~"&amp;Edges[[#This Row],[Vertex 2]],GroupVertices[Vertex],0)),1,1,"")</f>
        <v>4</v>
      </c>
    </row>
    <row r="223" spans="1:32" ht="15">
      <c r="A223" s="66" t="s">
        <v>414</v>
      </c>
      <c r="B223" s="66" t="s">
        <v>902</v>
      </c>
      <c r="C223" s="67"/>
      <c r="D223" s="68"/>
      <c r="E223" s="69"/>
      <c r="F223" s="70"/>
      <c r="G223" s="67"/>
      <c r="H223" s="71"/>
      <c r="I223" s="72"/>
      <c r="J223" s="72"/>
      <c r="K223" s="35"/>
      <c r="L223" s="80">
        <v>223</v>
      </c>
      <c r="M223" s="80"/>
      <c r="N223" s="74"/>
      <c r="O223" s="82" t="s">
        <v>909</v>
      </c>
      <c r="P223" s="82" t="s">
        <v>197</v>
      </c>
      <c r="Q223" s="85" t="s">
        <v>1130</v>
      </c>
      <c r="R223" s="82" t="s">
        <v>414</v>
      </c>
      <c r="S223" s="82" t="s">
        <v>1880</v>
      </c>
      <c r="T223" s="87" t="str">
        <f>HYPERLINK("http://www.youtube.com/channel/UCJPM8A2JFVb0iwwk8BprOdQ")</f>
        <v>http://www.youtube.com/channel/UCJPM8A2JFVb0iwwk8BprOdQ</v>
      </c>
      <c r="U223" s="82"/>
      <c r="V223" s="82" t="s">
        <v>2369</v>
      </c>
      <c r="W223" s="87" t="str">
        <f t="shared" si="8"/>
        <v>https://www.youtube.com/watch?v=E39neWnw9AA</v>
      </c>
      <c r="X223" s="82" t="s">
        <v>2384</v>
      </c>
      <c r="Y223" s="82">
        <v>0</v>
      </c>
      <c r="Z223" s="89">
        <v>45269.72106481482</v>
      </c>
      <c r="AA223" s="89">
        <v>45269.72106481482</v>
      </c>
      <c r="AB223" s="82"/>
      <c r="AC223" s="82"/>
      <c r="AD223" s="85" t="s">
        <v>2423</v>
      </c>
      <c r="AE223" s="84" t="str">
        <f>REPLACE(INDEX(GroupVertices[Group],MATCH("~"&amp;Edges[[#This Row],[Vertex 1]],GroupVertices[Vertex],0)),1,1,"")</f>
        <v>4</v>
      </c>
      <c r="AF223" s="84" t="str">
        <f>REPLACE(INDEX(GroupVertices[Group],MATCH("~"&amp;Edges[[#This Row],[Vertex 2]],GroupVertices[Vertex],0)),1,1,"")</f>
        <v>4</v>
      </c>
    </row>
    <row r="224" spans="1:32" ht="15">
      <c r="A224" s="66" t="s">
        <v>415</v>
      </c>
      <c r="B224" s="66" t="s">
        <v>902</v>
      </c>
      <c r="C224" s="67"/>
      <c r="D224" s="68"/>
      <c r="E224" s="69"/>
      <c r="F224" s="70"/>
      <c r="G224" s="67"/>
      <c r="H224" s="71"/>
      <c r="I224" s="72"/>
      <c r="J224" s="72"/>
      <c r="K224" s="35"/>
      <c r="L224" s="80">
        <v>224</v>
      </c>
      <c r="M224" s="80"/>
      <c r="N224" s="74"/>
      <c r="O224" s="82" t="s">
        <v>909</v>
      </c>
      <c r="P224" s="82" t="s">
        <v>197</v>
      </c>
      <c r="Q224" s="85" t="s">
        <v>1131</v>
      </c>
      <c r="R224" s="82" t="s">
        <v>415</v>
      </c>
      <c r="S224" s="82" t="s">
        <v>1881</v>
      </c>
      <c r="T224" s="87" t="str">
        <f>HYPERLINK("http://www.youtube.com/channel/UCfUZfNaC5Y1BYkF6HVB9rlA")</f>
        <v>http://www.youtube.com/channel/UCfUZfNaC5Y1BYkF6HVB9rlA</v>
      </c>
      <c r="U224" s="82"/>
      <c r="V224" s="82" t="s">
        <v>2369</v>
      </c>
      <c r="W224" s="87" t="str">
        <f t="shared" si="8"/>
        <v>https://www.youtube.com/watch?v=E39neWnw9AA</v>
      </c>
      <c r="X224" s="82" t="s">
        <v>2384</v>
      </c>
      <c r="Y224" s="82">
        <v>0</v>
      </c>
      <c r="Z224" s="89">
        <v>45269.95202546296</v>
      </c>
      <c r="AA224" s="89">
        <v>45269.95202546296</v>
      </c>
      <c r="AB224" s="82"/>
      <c r="AC224" s="82"/>
      <c r="AD224" s="85" t="s">
        <v>2423</v>
      </c>
      <c r="AE224" s="84" t="str">
        <f>REPLACE(INDEX(GroupVertices[Group],MATCH("~"&amp;Edges[[#This Row],[Vertex 1]],GroupVertices[Vertex],0)),1,1,"")</f>
        <v>4</v>
      </c>
      <c r="AF224" s="84" t="str">
        <f>REPLACE(INDEX(GroupVertices[Group],MATCH("~"&amp;Edges[[#This Row],[Vertex 2]],GroupVertices[Vertex],0)),1,1,"")</f>
        <v>4</v>
      </c>
    </row>
    <row r="225" spans="1:32" ht="15">
      <c r="A225" s="66" t="s">
        <v>416</v>
      </c>
      <c r="B225" s="66" t="s">
        <v>902</v>
      </c>
      <c r="C225" s="67"/>
      <c r="D225" s="68"/>
      <c r="E225" s="69"/>
      <c r="F225" s="70"/>
      <c r="G225" s="67"/>
      <c r="H225" s="71"/>
      <c r="I225" s="72"/>
      <c r="J225" s="72"/>
      <c r="K225" s="35"/>
      <c r="L225" s="80">
        <v>225</v>
      </c>
      <c r="M225" s="80"/>
      <c r="N225" s="74"/>
      <c r="O225" s="82" t="s">
        <v>909</v>
      </c>
      <c r="P225" s="82" t="s">
        <v>197</v>
      </c>
      <c r="Q225" s="85" t="s">
        <v>1132</v>
      </c>
      <c r="R225" s="82" t="s">
        <v>416</v>
      </c>
      <c r="S225" s="82" t="s">
        <v>1882</v>
      </c>
      <c r="T225" s="87" t="str">
        <f>HYPERLINK("http://www.youtube.com/channel/UCGhliFXGBg5n4rUPVDjGgqQ")</f>
        <v>http://www.youtube.com/channel/UCGhliFXGBg5n4rUPVDjGgqQ</v>
      </c>
      <c r="U225" s="82"/>
      <c r="V225" s="82" t="s">
        <v>2369</v>
      </c>
      <c r="W225" s="87" t="str">
        <f t="shared" si="8"/>
        <v>https://www.youtube.com/watch?v=E39neWnw9AA</v>
      </c>
      <c r="X225" s="82" t="s">
        <v>2384</v>
      </c>
      <c r="Y225" s="82">
        <v>0</v>
      </c>
      <c r="Z225" s="89">
        <v>45270.646782407406</v>
      </c>
      <c r="AA225" s="89">
        <v>45270.646782407406</v>
      </c>
      <c r="AB225" s="82"/>
      <c r="AC225" s="82"/>
      <c r="AD225" s="85" t="s">
        <v>2423</v>
      </c>
      <c r="AE225" s="84" t="str">
        <f>REPLACE(INDEX(GroupVertices[Group],MATCH("~"&amp;Edges[[#This Row],[Vertex 1]],GroupVertices[Vertex],0)),1,1,"")</f>
        <v>4</v>
      </c>
      <c r="AF225" s="84" t="str">
        <f>REPLACE(INDEX(GroupVertices[Group],MATCH("~"&amp;Edges[[#This Row],[Vertex 2]],GroupVertices[Vertex],0)),1,1,"")</f>
        <v>4</v>
      </c>
    </row>
    <row r="226" spans="1:32" ht="15">
      <c r="A226" s="66" t="s">
        <v>417</v>
      </c>
      <c r="B226" s="66" t="s">
        <v>902</v>
      </c>
      <c r="C226" s="67"/>
      <c r="D226" s="68"/>
      <c r="E226" s="69"/>
      <c r="F226" s="70"/>
      <c r="G226" s="67"/>
      <c r="H226" s="71"/>
      <c r="I226" s="72"/>
      <c r="J226" s="72"/>
      <c r="K226" s="35"/>
      <c r="L226" s="80">
        <v>226</v>
      </c>
      <c r="M226" s="80"/>
      <c r="N226" s="74"/>
      <c r="O226" s="82" t="s">
        <v>909</v>
      </c>
      <c r="P226" s="82" t="s">
        <v>197</v>
      </c>
      <c r="Q226" s="85" t="s">
        <v>1133</v>
      </c>
      <c r="R226" s="82" t="s">
        <v>417</v>
      </c>
      <c r="S226" s="82" t="s">
        <v>1883</v>
      </c>
      <c r="T226" s="87" t="str">
        <f>HYPERLINK("http://www.youtube.com/channel/UCu0XvjVuqz0-OuB0xpM9Fkw")</f>
        <v>http://www.youtube.com/channel/UCu0XvjVuqz0-OuB0xpM9Fkw</v>
      </c>
      <c r="U226" s="82"/>
      <c r="V226" s="82" t="s">
        <v>2369</v>
      </c>
      <c r="W226" s="87" t="str">
        <f t="shared" si="8"/>
        <v>https://www.youtube.com/watch?v=E39neWnw9AA</v>
      </c>
      <c r="X226" s="82" t="s">
        <v>2384</v>
      </c>
      <c r="Y226" s="82">
        <v>0</v>
      </c>
      <c r="Z226" s="89">
        <v>45271.462013888886</v>
      </c>
      <c r="AA226" s="89">
        <v>45271.462013888886</v>
      </c>
      <c r="AB226" s="82"/>
      <c r="AC226" s="82"/>
      <c r="AD226" s="85" t="s">
        <v>2423</v>
      </c>
      <c r="AE226" s="84" t="str">
        <f>REPLACE(INDEX(GroupVertices[Group],MATCH("~"&amp;Edges[[#This Row],[Vertex 1]],GroupVertices[Vertex],0)),1,1,"")</f>
        <v>4</v>
      </c>
      <c r="AF226" s="84" t="str">
        <f>REPLACE(INDEX(GroupVertices[Group],MATCH("~"&amp;Edges[[#This Row],[Vertex 2]],GroupVertices[Vertex],0)),1,1,"")</f>
        <v>4</v>
      </c>
    </row>
    <row r="227" spans="1:32" ht="15">
      <c r="A227" s="66" t="s">
        <v>418</v>
      </c>
      <c r="B227" s="66" t="s">
        <v>902</v>
      </c>
      <c r="C227" s="67"/>
      <c r="D227" s="68"/>
      <c r="E227" s="69"/>
      <c r="F227" s="70"/>
      <c r="G227" s="67"/>
      <c r="H227" s="71"/>
      <c r="I227" s="72"/>
      <c r="J227" s="72"/>
      <c r="K227" s="35"/>
      <c r="L227" s="80">
        <v>227</v>
      </c>
      <c r="M227" s="80"/>
      <c r="N227" s="74"/>
      <c r="O227" s="82" t="s">
        <v>909</v>
      </c>
      <c r="P227" s="82" t="s">
        <v>197</v>
      </c>
      <c r="Q227" s="85" t="s">
        <v>1134</v>
      </c>
      <c r="R227" s="82" t="s">
        <v>418</v>
      </c>
      <c r="S227" s="82" t="s">
        <v>1884</v>
      </c>
      <c r="T227" s="87" t="str">
        <f>HYPERLINK("http://www.youtube.com/channel/UCLuYC0iEWAGNAip25koO9iQ")</f>
        <v>http://www.youtube.com/channel/UCLuYC0iEWAGNAip25koO9iQ</v>
      </c>
      <c r="U227" s="82"/>
      <c r="V227" s="82" t="s">
        <v>2369</v>
      </c>
      <c r="W227" s="87" t="str">
        <f t="shared" si="8"/>
        <v>https://www.youtube.com/watch?v=E39neWnw9AA</v>
      </c>
      <c r="X227" s="82" t="s">
        <v>2384</v>
      </c>
      <c r="Y227" s="82">
        <v>0</v>
      </c>
      <c r="Z227" s="89">
        <v>45272.9971875</v>
      </c>
      <c r="AA227" s="89">
        <v>45272.9971875</v>
      </c>
      <c r="AB227" s="82"/>
      <c r="AC227" s="82"/>
      <c r="AD227" s="85" t="s">
        <v>2423</v>
      </c>
      <c r="AE227" s="84" t="str">
        <f>REPLACE(INDEX(GroupVertices[Group],MATCH("~"&amp;Edges[[#This Row],[Vertex 1]],GroupVertices[Vertex],0)),1,1,"")</f>
        <v>4</v>
      </c>
      <c r="AF227" s="84" t="str">
        <f>REPLACE(INDEX(GroupVertices[Group],MATCH("~"&amp;Edges[[#This Row],[Vertex 2]],GroupVertices[Vertex],0)),1,1,"")</f>
        <v>4</v>
      </c>
    </row>
    <row r="228" spans="1:32" ht="15">
      <c r="A228" s="66" t="s">
        <v>419</v>
      </c>
      <c r="B228" s="66" t="s">
        <v>902</v>
      </c>
      <c r="C228" s="67"/>
      <c r="D228" s="68"/>
      <c r="E228" s="69"/>
      <c r="F228" s="70"/>
      <c r="G228" s="67"/>
      <c r="H228" s="71"/>
      <c r="I228" s="72"/>
      <c r="J228" s="72"/>
      <c r="K228" s="35"/>
      <c r="L228" s="80">
        <v>228</v>
      </c>
      <c r="M228" s="80"/>
      <c r="N228" s="74"/>
      <c r="O228" s="82" t="s">
        <v>909</v>
      </c>
      <c r="P228" s="82" t="s">
        <v>197</v>
      </c>
      <c r="Q228" s="85" t="s">
        <v>1135</v>
      </c>
      <c r="R228" s="82" t="s">
        <v>419</v>
      </c>
      <c r="S228" s="82" t="s">
        <v>1885</v>
      </c>
      <c r="T228" s="87" t="str">
        <f>HYPERLINK("http://www.youtube.com/channel/UCkMJzuwZYHCa58DH990xjiQ")</f>
        <v>http://www.youtube.com/channel/UCkMJzuwZYHCa58DH990xjiQ</v>
      </c>
      <c r="U228" s="82"/>
      <c r="V228" s="82" t="s">
        <v>2369</v>
      </c>
      <c r="W228" s="87" t="str">
        <f t="shared" si="8"/>
        <v>https://www.youtube.com/watch?v=E39neWnw9AA</v>
      </c>
      <c r="X228" s="82" t="s">
        <v>2384</v>
      </c>
      <c r="Y228" s="82">
        <v>0</v>
      </c>
      <c r="Z228" s="89">
        <v>45274.37087962963</v>
      </c>
      <c r="AA228" s="89">
        <v>45274.37087962963</v>
      </c>
      <c r="AB228" s="82"/>
      <c r="AC228" s="82"/>
      <c r="AD228" s="85" t="s">
        <v>2423</v>
      </c>
      <c r="AE228" s="84" t="str">
        <f>REPLACE(INDEX(GroupVertices[Group],MATCH("~"&amp;Edges[[#This Row],[Vertex 1]],GroupVertices[Vertex],0)),1,1,"")</f>
        <v>4</v>
      </c>
      <c r="AF228" s="84" t="str">
        <f>REPLACE(INDEX(GroupVertices[Group],MATCH("~"&amp;Edges[[#This Row],[Vertex 2]],GroupVertices[Vertex],0)),1,1,"")</f>
        <v>4</v>
      </c>
    </row>
    <row r="229" spans="1:32" ht="15">
      <c r="A229" s="66" t="s">
        <v>420</v>
      </c>
      <c r="B229" s="66" t="s">
        <v>902</v>
      </c>
      <c r="C229" s="67"/>
      <c r="D229" s="68"/>
      <c r="E229" s="69"/>
      <c r="F229" s="70"/>
      <c r="G229" s="67"/>
      <c r="H229" s="71"/>
      <c r="I229" s="72"/>
      <c r="J229" s="72"/>
      <c r="K229" s="35"/>
      <c r="L229" s="80">
        <v>229</v>
      </c>
      <c r="M229" s="80"/>
      <c r="N229" s="74"/>
      <c r="O229" s="82" t="s">
        <v>909</v>
      </c>
      <c r="P229" s="82" t="s">
        <v>197</v>
      </c>
      <c r="Q229" s="85" t="s">
        <v>1136</v>
      </c>
      <c r="R229" s="82" t="s">
        <v>420</v>
      </c>
      <c r="S229" s="82" t="s">
        <v>1886</v>
      </c>
      <c r="T229" s="87" t="str">
        <f>HYPERLINK("http://www.youtube.com/channel/UCOEV0d82acMptsU1quMiJBQ")</f>
        <v>http://www.youtube.com/channel/UCOEV0d82acMptsU1quMiJBQ</v>
      </c>
      <c r="U229" s="82"/>
      <c r="V229" s="82" t="s">
        <v>2369</v>
      </c>
      <c r="W229" s="87" t="str">
        <f t="shared" si="8"/>
        <v>https://www.youtube.com/watch?v=E39neWnw9AA</v>
      </c>
      <c r="X229" s="82" t="s">
        <v>2384</v>
      </c>
      <c r="Y229" s="82">
        <v>0</v>
      </c>
      <c r="Z229" s="89">
        <v>45274.62678240741</v>
      </c>
      <c r="AA229" s="89">
        <v>45274.62678240741</v>
      </c>
      <c r="AB229" s="82"/>
      <c r="AC229" s="82"/>
      <c r="AD229" s="85" t="s">
        <v>2423</v>
      </c>
      <c r="AE229" s="84" t="str">
        <f>REPLACE(INDEX(GroupVertices[Group],MATCH("~"&amp;Edges[[#This Row],[Vertex 1]],GroupVertices[Vertex],0)),1,1,"")</f>
        <v>4</v>
      </c>
      <c r="AF229" s="84" t="str">
        <f>REPLACE(INDEX(GroupVertices[Group],MATCH("~"&amp;Edges[[#This Row],[Vertex 2]],GroupVertices[Vertex],0)),1,1,"")</f>
        <v>4</v>
      </c>
    </row>
    <row r="230" spans="1:32" ht="15">
      <c r="A230" s="66" t="s">
        <v>421</v>
      </c>
      <c r="B230" s="66" t="s">
        <v>902</v>
      </c>
      <c r="C230" s="67"/>
      <c r="D230" s="68"/>
      <c r="E230" s="69"/>
      <c r="F230" s="70"/>
      <c r="G230" s="67"/>
      <c r="H230" s="71"/>
      <c r="I230" s="72"/>
      <c r="J230" s="72"/>
      <c r="K230" s="35"/>
      <c r="L230" s="80">
        <v>230</v>
      </c>
      <c r="M230" s="80"/>
      <c r="N230" s="74"/>
      <c r="O230" s="82" t="s">
        <v>909</v>
      </c>
      <c r="P230" s="82" t="s">
        <v>197</v>
      </c>
      <c r="Q230" s="85" t="s">
        <v>1137</v>
      </c>
      <c r="R230" s="82" t="s">
        <v>421</v>
      </c>
      <c r="S230" s="82" t="s">
        <v>1887</v>
      </c>
      <c r="T230" s="87" t="str">
        <f>HYPERLINK("http://www.youtube.com/channel/UCD7SkVm2Eh76nSIo4GQz1Fw")</f>
        <v>http://www.youtube.com/channel/UCD7SkVm2Eh76nSIo4GQz1Fw</v>
      </c>
      <c r="U230" s="82"/>
      <c r="V230" s="82" t="s">
        <v>2369</v>
      </c>
      <c r="W230" s="87" t="str">
        <f t="shared" si="8"/>
        <v>https://www.youtube.com/watch?v=E39neWnw9AA</v>
      </c>
      <c r="X230" s="82" t="s">
        <v>2384</v>
      </c>
      <c r="Y230" s="82">
        <v>0</v>
      </c>
      <c r="Z230" s="89">
        <v>45282.83056712963</v>
      </c>
      <c r="AA230" s="89">
        <v>45282.83056712963</v>
      </c>
      <c r="AB230" s="82"/>
      <c r="AC230" s="82"/>
      <c r="AD230" s="85" t="s">
        <v>2423</v>
      </c>
      <c r="AE230" s="84" t="str">
        <f>REPLACE(INDEX(GroupVertices[Group],MATCH("~"&amp;Edges[[#This Row],[Vertex 1]],GroupVertices[Vertex],0)),1,1,"")</f>
        <v>4</v>
      </c>
      <c r="AF230" s="84" t="str">
        <f>REPLACE(INDEX(GroupVertices[Group],MATCH("~"&amp;Edges[[#This Row],[Vertex 2]],GroupVertices[Vertex],0)),1,1,"")</f>
        <v>4</v>
      </c>
    </row>
    <row r="231" spans="1:32" ht="15">
      <c r="A231" s="66" t="s">
        <v>422</v>
      </c>
      <c r="B231" s="66" t="s">
        <v>902</v>
      </c>
      <c r="C231" s="67"/>
      <c r="D231" s="68"/>
      <c r="E231" s="69"/>
      <c r="F231" s="70"/>
      <c r="G231" s="67"/>
      <c r="H231" s="71"/>
      <c r="I231" s="72"/>
      <c r="J231" s="72"/>
      <c r="K231" s="35"/>
      <c r="L231" s="80">
        <v>231</v>
      </c>
      <c r="M231" s="80"/>
      <c r="N231" s="74"/>
      <c r="O231" s="82" t="s">
        <v>909</v>
      </c>
      <c r="P231" s="82" t="s">
        <v>197</v>
      </c>
      <c r="Q231" s="85" t="s">
        <v>1138</v>
      </c>
      <c r="R231" s="82" t="s">
        <v>422</v>
      </c>
      <c r="S231" s="82" t="s">
        <v>1888</v>
      </c>
      <c r="T231" s="87" t="str">
        <f>HYPERLINK("http://www.youtube.com/channel/UCuBo-Yk7EMWQXQUq5LRJo6Q")</f>
        <v>http://www.youtube.com/channel/UCuBo-Yk7EMWQXQUq5LRJo6Q</v>
      </c>
      <c r="U231" s="82"/>
      <c r="V231" s="82" t="s">
        <v>2369</v>
      </c>
      <c r="W231" s="87" t="str">
        <f t="shared" si="8"/>
        <v>https://www.youtube.com/watch?v=E39neWnw9AA</v>
      </c>
      <c r="X231" s="82" t="s">
        <v>2384</v>
      </c>
      <c r="Y231" s="82">
        <v>0</v>
      </c>
      <c r="Z231" s="89">
        <v>45283.10361111111</v>
      </c>
      <c r="AA231" s="89">
        <v>45283.10361111111</v>
      </c>
      <c r="AB231" s="82"/>
      <c r="AC231" s="82"/>
      <c r="AD231" s="85" t="s">
        <v>2423</v>
      </c>
      <c r="AE231" s="84" t="str">
        <f>REPLACE(INDEX(GroupVertices[Group],MATCH("~"&amp;Edges[[#This Row],[Vertex 1]],GroupVertices[Vertex],0)),1,1,"")</f>
        <v>4</v>
      </c>
      <c r="AF231" s="84" t="str">
        <f>REPLACE(INDEX(GroupVertices[Group],MATCH("~"&amp;Edges[[#This Row],[Vertex 2]],GroupVertices[Vertex],0)),1,1,"")</f>
        <v>4</v>
      </c>
    </row>
    <row r="232" spans="1:32" ht="15">
      <c r="A232" s="66" t="s">
        <v>423</v>
      </c>
      <c r="B232" s="66" t="s">
        <v>902</v>
      </c>
      <c r="C232" s="67"/>
      <c r="D232" s="68"/>
      <c r="E232" s="69"/>
      <c r="F232" s="70"/>
      <c r="G232" s="67"/>
      <c r="H232" s="71"/>
      <c r="I232" s="72"/>
      <c r="J232" s="72"/>
      <c r="K232" s="35"/>
      <c r="L232" s="80">
        <v>232</v>
      </c>
      <c r="M232" s="80"/>
      <c r="N232" s="74"/>
      <c r="O232" s="82" t="s">
        <v>909</v>
      </c>
      <c r="P232" s="82" t="s">
        <v>197</v>
      </c>
      <c r="Q232" s="85" t="s">
        <v>1139</v>
      </c>
      <c r="R232" s="82" t="s">
        <v>423</v>
      </c>
      <c r="S232" s="82" t="s">
        <v>1889</v>
      </c>
      <c r="T232" s="87" t="str">
        <f>HYPERLINK("http://www.youtube.com/channel/UC1BhnZu1dbQY9m9WPKvzz0g")</f>
        <v>http://www.youtube.com/channel/UC1BhnZu1dbQY9m9WPKvzz0g</v>
      </c>
      <c r="U232" s="82"/>
      <c r="V232" s="82" t="s">
        <v>2369</v>
      </c>
      <c r="W232" s="87" t="str">
        <f t="shared" si="8"/>
        <v>https://www.youtube.com/watch?v=E39neWnw9AA</v>
      </c>
      <c r="X232" s="82" t="s">
        <v>2384</v>
      </c>
      <c r="Y232" s="82">
        <v>0</v>
      </c>
      <c r="Z232" s="89">
        <v>45287.27737268519</v>
      </c>
      <c r="AA232" s="89">
        <v>45287.27780092593</v>
      </c>
      <c r="AB232" s="82"/>
      <c r="AC232" s="82"/>
      <c r="AD232" s="85" t="s">
        <v>2423</v>
      </c>
      <c r="AE232" s="84" t="str">
        <f>REPLACE(INDEX(GroupVertices[Group],MATCH("~"&amp;Edges[[#This Row],[Vertex 1]],GroupVertices[Vertex],0)),1,1,"")</f>
        <v>4</v>
      </c>
      <c r="AF232" s="84" t="str">
        <f>REPLACE(INDEX(GroupVertices[Group],MATCH("~"&amp;Edges[[#This Row],[Vertex 2]],GroupVertices[Vertex],0)),1,1,"")</f>
        <v>4</v>
      </c>
    </row>
    <row r="233" spans="1:32" ht="15">
      <c r="A233" s="66" t="s">
        <v>424</v>
      </c>
      <c r="B233" s="66" t="s">
        <v>902</v>
      </c>
      <c r="C233" s="67"/>
      <c r="D233" s="68"/>
      <c r="E233" s="69"/>
      <c r="F233" s="70"/>
      <c r="G233" s="67"/>
      <c r="H233" s="71"/>
      <c r="I233" s="72"/>
      <c r="J233" s="72"/>
      <c r="K233" s="35"/>
      <c r="L233" s="80">
        <v>233</v>
      </c>
      <c r="M233" s="80"/>
      <c r="N233" s="74"/>
      <c r="O233" s="82" t="s">
        <v>909</v>
      </c>
      <c r="P233" s="82" t="s">
        <v>197</v>
      </c>
      <c r="Q233" s="85" t="s">
        <v>1140</v>
      </c>
      <c r="R233" s="82" t="s">
        <v>424</v>
      </c>
      <c r="S233" s="82" t="s">
        <v>1890</v>
      </c>
      <c r="T233" s="87" t="str">
        <f>HYPERLINK("http://www.youtube.com/channel/UC9W3KUkMkHjclvRtHKSgTTA")</f>
        <v>http://www.youtube.com/channel/UC9W3KUkMkHjclvRtHKSgTTA</v>
      </c>
      <c r="U233" s="82"/>
      <c r="V233" s="82" t="s">
        <v>2369</v>
      </c>
      <c r="W233" s="87" t="str">
        <f t="shared" si="8"/>
        <v>https://www.youtube.com/watch?v=E39neWnw9AA</v>
      </c>
      <c r="X233" s="82" t="s">
        <v>2384</v>
      </c>
      <c r="Y233" s="82">
        <v>0</v>
      </c>
      <c r="Z233" s="89">
        <v>45287.899826388886</v>
      </c>
      <c r="AA233" s="89">
        <v>45287.899826388886</v>
      </c>
      <c r="AB233" s="82"/>
      <c r="AC233" s="82"/>
      <c r="AD233" s="85" t="s">
        <v>2423</v>
      </c>
      <c r="AE233" s="84" t="str">
        <f>REPLACE(INDEX(GroupVertices[Group],MATCH("~"&amp;Edges[[#This Row],[Vertex 1]],GroupVertices[Vertex],0)),1,1,"")</f>
        <v>4</v>
      </c>
      <c r="AF233" s="84" t="str">
        <f>REPLACE(INDEX(GroupVertices[Group],MATCH("~"&amp;Edges[[#This Row],[Vertex 2]],GroupVertices[Vertex],0)),1,1,"")</f>
        <v>4</v>
      </c>
    </row>
    <row r="234" spans="1:32" ht="15">
      <c r="A234" s="66" t="s">
        <v>425</v>
      </c>
      <c r="B234" s="66" t="s">
        <v>902</v>
      </c>
      <c r="C234" s="67"/>
      <c r="D234" s="68"/>
      <c r="E234" s="69"/>
      <c r="F234" s="70"/>
      <c r="G234" s="67"/>
      <c r="H234" s="71"/>
      <c r="I234" s="72"/>
      <c r="J234" s="72"/>
      <c r="K234" s="35"/>
      <c r="L234" s="80">
        <v>234</v>
      </c>
      <c r="M234" s="80"/>
      <c r="N234" s="74"/>
      <c r="O234" s="82" t="s">
        <v>909</v>
      </c>
      <c r="P234" s="82" t="s">
        <v>197</v>
      </c>
      <c r="Q234" s="85" t="s">
        <v>1141</v>
      </c>
      <c r="R234" s="82" t="s">
        <v>425</v>
      </c>
      <c r="S234" s="82" t="s">
        <v>1891</v>
      </c>
      <c r="T234" s="87" t="str">
        <f>HYPERLINK("http://www.youtube.com/channel/UCu8VVTwOjV0biYdp0FY71MA")</f>
        <v>http://www.youtube.com/channel/UCu8VVTwOjV0biYdp0FY71MA</v>
      </c>
      <c r="U234" s="82"/>
      <c r="V234" s="82" t="s">
        <v>2369</v>
      </c>
      <c r="W234" s="87" t="str">
        <f t="shared" si="8"/>
        <v>https://www.youtube.com/watch?v=E39neWnw9AA</v>
      </c>
      <c r="X234" s="82" t="s">
        <v>2384</v>
      </c>
      <c r="Y234" s="82">
        <v>0</v>
      </c>
      <c r="Z234" s="89">
        <v>45288.87094907407</v>
      </c>
      <c r="AA234" s="89">
        <v>45288.87094907407</v>
      </c>
      <c r="AB234" s="82"/>
      <c r="AC234" s="82"/>
      <c r="AD234" s="85" t="s">
        <v>2423</v>
      </c>
      <c r="AE234" s="84" t="str">
        <f>REPLACE(INDEX(GroupVertices[Group],MATCH("~"&amp;Edges[[#This Row],[Vertex 1]],GroupVertices[Vertex],0)),1,1,"")</f>
        <v>4</v>
      </c>
      <c r="AF234" s="84" t="str">
        <f>REPLACE(INDEX(GroupVertices[Group],MATCH("~"&amp;Edges[[#This Row],[Vertex 2]],GroupVertices[Vertex],0)),1,1,"")</f>
        <v>4</v>
      </c>
    </row>
    <row r="235" spans="1:32" ht="15">
      <c r="A235" s="66" t="s">
        <v>426</v>
      </c>
      <c r="B235" s="66" t="s">
        <v>902</v>
      </c>
      <c r="C235" s="67"/>
      <c r="D235" s="68"/>
      <c r="E235" s="69"/>
      <c r="F235" s="70"/>
      <c r="G235" s="67"/>
      <c r="H235" s="71"/>
      <c r="I235" s="72"/>
      <c r="J235" s="72"/>
      <c r="K235" s="35"/>
      <c r="L235" s="80">
        <v>235</v>
      </c>
      <c r="M235" s="80"/>
      <c r="N235" s="74"/>
      <c r="O235" s="82" t="s">
        <v>909</v>
      </c>
      <c r="P235" s="82" t="s">
        <v>197</v>
      </c>
      <c r="Q235" s="85" t="s">
        <v>1142</v>
      </c>
      <c r="R235" s="82" t="s">
        <v>426</v>
      </c>
      <c r="S235" s="82" t="s">
        <v>1892</v>
      </c>
      <c r="T235" s="87" t="str">
        <f>HYPERLINK("http://www.youtube.com/channel/UCJaWMXqDntTUBLiOC-ye7yA")</f>
        <v>http://www.youtube.com/channel/UCJaWMXqDntTUBLiOC-ye7yA</v>
      </c>
      <c r="U235" s="82"/>
      <c r="V235" s="82" t="s">
        <v>2369</v>
      </c>
      <c r="W235" s="87" t="str">
        <f t="shared" si="8"/>
        <v>https://www.youtube.com/watch?v=E39neWnw9AA</v>
      </c>
      <c r="X235" s="82" t="s">
        <v>2384</v>
      </c>
      <c r="Y235" s="82">
        <v>0</v>
      </c>
      <c r="Z235" s="89">
        <v>45288.893125</v>
      </c>
      <c r="AA235" s="89">
        <v>45288.893125</v>
      </c>
      <c r="AB235" s="82"/>
      <c r="AC235" s="82"/>
      <c r="AD235" s="85" t="s">
        <v>2423</v>
      </c>
      <c r="AE235" s="84" t="str">
        <f>REPLACE(INDEX(GroupVertices[Group],MATCH("~"&amp;Edges[[#This Row],[Vertex 1]],GroupVertices[Vertex],0)),1,1,"")</f>
        <v>4</v>
      </c>
      <c r="AF235" s="84" t="str">
        <f>REPLACE(INDEX(GroupVertices[Group],MATCH("~"&amp;Edges[[#This Row],[Vertex 2]],GroupVertices[Vertex],0)),1,1,"")</f>
        <v>4</v>
      </c>
    </row>
    <row r="236" spans="1:32" ht="15">
      <c r="A236" s="66" t="s">
        <v>427</v>
      </c>
      <c r="B236" s="66" t="s">
        <v>902</v>
      </c>
      <c r="C236" s="67"/>
      <c r="D236" s="68"/>
      <c r="E236" s="69"/>
      <c r="F236" s="70"/>
      <c r="G236" s="67"/>
      <c r="H236" s="71"/>
      <c r="I236" s="72"/>
      <c r="J236" s="72"/>
      <c r="K236" s="35"/>
      <c r="L236" s="80">
        <v>236</v>
      </c>
      <c r="M236" s="80"/>
      <c r="N236" s="74"/>
      <c r="O236" s="82" t="s">
        <v>909</v>
      </c>
      <c r="P236" s="82" t="s">
        <v>197</v>
      </c>
      <c r="Q236" s="85" t="s">
        <v>1143</v>
      </c>
      <c r="R236" s="82" t="s">
        <v>427</v>
      </c>
      <c r="S236" s="82" t="s">
        <v>1893</v>
      </c>
      <c r="T236" s="87" t="str">
        <f>HYPERLINK("http://www.youtube.com/channel/UCXHmCBQ6AVaWIXsXw1Om-BA")</f>
        <v>http://www.youtube.com/channel/UCXHmCBQ6AVaWIXsXw1Om-BA</v>
      </c>
      <c r="U236" s="82"/>
      <c r="V236" s="82" t="s">
        <v>2369</v>
      </c>
      <c r="W236" s="87" t="str">
        <f t="shared" si="8"/>
        <v>https://www.youtube.com/watch?v=E39neWnw9AA</v>
      </c>
      <c r="X236" s="82" t="s">
        <v>2384</v>
      </c>
      <c r="Y236" s="82">
        <v>0</v>
      </c>
      <c r="Z236" s="89">
        <v>45289.923796296294</v>
      </c>
      <c r="AA236" s="89">
        <v>45289.923796296294</v>
      </c>
      <c r="AB236" s="82"/>
      <c r="AC236" s="82"/>
      <c r="AD236" s="85" t="s">
        <v>2423</v>
      </c>
      <c r="AE236" s="84" t="str">
        <f>REPLACE(INDEX(GroupVertices[Group],MATCH("~"&amp;Edges[[#This Row],[Vertex 1]],GroupVertices[Vertex],0)),1,1,"")</f>
        <v>4</v>
      </c>
      <c r="AF236" s="84" t="str">
        <f>REPLACE(INDEX(GroupVertices[Group],MATCH("~"&amp;Edges[[#This Row],[Vertex 2]],GroupVertices[Vertex],0)),1,1,"")</f>
        <v>4</v>
      </c>
    </row>
    <row r="237" spans="1:32" ht="15">
      <c r="A237" s="66" t="s">
        <v>428</v>
      </c>
      <c r="B237" s="66" t="s">
        <v>902</v>
      </c>
      <c r="C237" s="67"/>
      <c r="D237" s="68"/>
      <c r="E237" s="69"/>
      <c r="F237" s="70"/>
      <c r="G237" s="67"/>
      <c r="H237" s="71"/>
      <c r="I237" s="72"/>
      <c r="J237" s="72"/>
      <c r="K237" s="35"/>
      <c r="L237" s="80">
        <v>237</v>
      </c>
      <c r="M237" s="80"/>
      <c r="N237" s="74"/>
      <c r="O237" s="82" t="s">
        <v>909</v>
      </c>
      <c r="P237" s="82" t="s">
        <v>197</v>
      </c>
      <c r="Q237" s="85" t="s">
        <v>1144</v>
      </c>
      <c r="R237" s="82" t="s">
        <v>428</v>
      </c>
      <c r="S237" s="82" t="s">
        <v>1894</v>
      </c>
      <c r="T237" s="87" t="str">
        <f>HYPERLINK("http://www.youtube.com/channel/UCIN-0WFv-dQp6i0SMWZmqNQ")</f>
        <v>http://www.youtube.com/channel/UCIN-0WFv-dQp6i0SMWZmqNQ</v>
      </c>
      <c r="U237" s="82"/>
      <c r="V237" s="82" t="s">
        <v>2369</v>
      </c>
      <c r="W237" s="87" t="str">
        <f t="shared" si="8"/>
        <v>https://www.youtube.com/watch?v=E39neWnw9AA</v>
      </c>
      <c r="X237" s="82" t="s">
        <v>2384</v>
      </c>
      <c r="Y237" s="82">
        <v>0</v>
      </c>
      <c r="Z237" s="89">
        <v>45291.10474537037</v>
      </c>
      <c r="AA237" s="89">
        <v>45291.10474537037</v>
      </c>
      <c r="AB237" s="82"/>
      <c r="AC237" s="82"/>
      <c r="AD237" s="85" t="s">
        <v>2423</v>
      </c>
      <c r="AE237" s="84" t="str">
        <f>REPLACE(INDEX(GroupVertices[Group],MATCH("~"&amp;Edges[[#This Row],[Vertex 1]],GroupVertices[Vertex],0)),1,1,"")</f>
        <v>4</v>
      </c>
      <c r="AF237" s="84" t="str">
        <f>REPLACE(INDEX(GroupVertices[Group],MATCH("~"&amp;Edges[[#This Row],[Vertex 2]],GroupVertices[Vertex],0)),1,1,"")</f>
        <v>4</v>
      </c>
    </row>
    <row r="238" spans="1:32" ht="15">
      <c r="A238" s="66" t="s">
        <v>429</v>
      </c>
      <c r="B238" s="66" t="s">
        <v>902</v>
      </c>
      <c r="C238" s="67"/>
      <c r="D238" s="68"/>
      <c r="E238" s="69"/>
      <c r="F238" s="70"/>
      <c r="G238" s="67"/>
      <c r="H238" s="71"/>
      <c r="I238" s="72"/>
      <c r="J238" s="72"/>
      <c r="K238" s="35"/>
      <c r="L238" s="80">
        <v>238</v>
      </c>
      <c r="M238" s="80"/>
      <c r="N238" s="74"/>
      <c r="O238" s="82" t="s">
        <v>909</v>
      </c>
      <c r="P238" s="82" t="s">
        <v>197</v>
      </c>
      <c r="Q238" s="85" t="s">
        <v>1145</v>
      </c>
      <c r="R238" s="82" t="s">
        <v>429</v>
      </c>
      <c r="S238" s="82" t="s">
        <v>1895</v>
      </c>
      <c r="T238" s="87" t="str">
        <f>HYPERLINK("http://www.youtube.com/channel/UCU1slH9iEO_LUlIlqxpvvDQ")</f>
        <v>http://www.youtube.com/channel/UCU1slH9iEO_LUlIlqxpvvDQ</v>
      </c>
      <c r="U238" s="82"/>
      <c r="V238" s="82" t="s">
        <v>2369</v>
      </c>
      <c r="W238" s="87" t="str">
        <f t="shared" si="8"/>
        <v>https://www.youtube.com/watch?v=E39neWnw9AA</v>
      </c>
      <c r="X238" s="82" t="s">
        <v>2384</v>
      </c>
      <c r="Y238" s="82">
        <v>0</v>
      </c>
      <c r="Z238" s="89">
        <v>45292.524618055555</v>
      </c>
      <c r="AA238" s="89">
        <v>45292.524618055555</v>
      </c>
      <c r="AB238" s="82" t="s">
        <v>2395</v>
      </c>
      <c r="AC238" s="82" t="s">
        <v>2417</v>
      </c>
      <c r="AD238" s="85" t="s">
        <v>2423</v>
      </c>
      <c r="AE238" s="84" t="str">
        <f>REPLACE(INDEX(GroupVertices[Group],MATCH("~"&amp;Edges[[#This Row],[Vertex 1]],GroupVertices[Vertex],0)),1,1,"")</f>
        <v>4</v>
      </c>
      <c r="AF238" s="84" t="str">
        <f>REPLACE(INDEX(GroupVertices[Group],MATCH("~"&amp;Edges[[#This Row],[Vertex 2]],GroupVertices[Vertex],0)),1,1,"")</f>
        <v>4</v>
      </c>
    </row>
    <row r="239" spans="1:32" ht="15">
      <c r="A239" s="66" t="s">
        <v>430</v>
      </c>
      <c r="B239" s="66" t="s">
        <v>902</v>
      </c>
      <c r="C239" s="67"/>
      <c r="D239" s="68"/>
      <c r="E239" s="69"/>
      <c r="F239" s="70"/>
      <c r="G239" s="67"/>
      <c r="H239" s="71"/>
      <c r="I239" s="72"/>
      <c r="J239" s="72"/>
      <c r="K239" s="35"/>
      <c r="L239" s="80">
        <v>239</v>
      </c>
      <c r="M239" s="80"/>
      <c r="N239" s="74"/>
      <c r="O239" s="82" t="s">
        <v>909</v>
      </c>
      <c r="P239" s="82" t="s">
        <v>197</v>
      </c>
      <c r="Q239" s="85" t="s">
        <v>1146</v>
      </c>
      <c r="R239" s="82" t="s">
        <v>430</v>
      </c>
      <c r="S239" s="82" t="s">
        <v>1896</v>
      </c>
      <c r="T239" s="87" t="str">
        <f>HYPERLINK("http://www.youtube.com/channel/UCqUQaS4-zPp4rdxPmxZ8Cng")</f>
        <v>http://www.youtube.com/channel/UCqUQaS4-zPp4rdxPmxZ8Cng</v>
      </c>
      <c r="U239" s="82"/>
      <c r="V239" s="82" t="s">
        <v>2369</v>
      </c>
      <c r="W239" s="87" t="str">
        <f t="shared" si="8"/>
        <v>https://www.youtube.com/watch?v=E39neWnw9AA</v>
      </c>
      <c r="X239" s="82" t="s">
        <v>2384</v>
      </c>
      <c r="Y239" s="82">
        <v>0</v>
      </c>
      <c r="Z239" s="89">
        <v>45292.878229166665</v>
      </c>
      <c r="AA239" s="89">
        <v>45292.878229166665</v>
      </c>
      <c r="AB239" s="82"/>
      <c r="AC239" s="82"/>
      <c r="AD239" s="85" t="s">
        <v>2423</v>
      </c>
      <c r="AE239" s="84" t="str">
        <f>REPLACE(INDEX(GroupVertices[Group],MATCH("~"&amp;Edges[[#This Row],[Vertex 1]],GroupVertices[Vertex],0)),1,1,"")</f>
        <v>4</v>
      </c>
      <c r="AF239" s="84" t="str">
        <f>REPLACE(INDEX(GroupVertices[Group],MATCH("~"&amp;Edges[[#This Row],[Vertex 2]],GroupVertices[Vertex],0)),1,1,"")</f>
        <v>4</v>
      </c>
    </row>
    <row r="240" spans="1:32" ht="15">
      <c r="A240" s="66" t="s">
        <v>430</v>
      </c>
      <c r="B240" s="66" t="s">
        <v>902</v>
      </c>
      <c r="C240" s="67"/>
      <c r="D240" s="68"/>
      <c r="E240" s="69"/>
      <c r="F240" s="70"/>
      <c r="G240" s="67"/>
      <c r="H240" s="71"/>
      <c r="I240" s="72"/>
      <c r="J240" s="72"/>
      <c r="K240" s="35"/>
      <c r="L240" s="80">
        <v>240</v>
      </c>
      <c r="M240" s="80"/>
      <c r="N240" s="74"/>
      <c r="O240" s="82" t="s">
        <v>909</v>
      </c>
      <c r="P240" s="82" t="s">
        <v>197</v>
      </c>
      <c r="Q240" s="85" t="s">
        <v>1147</v>
      </c>
      <c r="R240" s="82" t="s">
        <v>430</v>
      </c>
      <c r="S240" s="82" t="s">
        <v>1896</v>
      </c>
      <c r="T240" s="87" t="str">
        <f>HYPERLINK("http://www.youtube.com/channel/UCqUQaS4-zPp4rdxPmxZ8Cng")</f>
        <v>http://www.youtube.com/channel/UCqUQaS4-zPp4rdxPmxZ8Cng</v>
      </c>
      <c r="U240" s="82"/>
      <c r="V240" s="82" t="s">
        <v>2369</v>
      </c>
      <c r="W240" s="87" t="str">
        <f t="shared" si="8"/>
        <v>https://www.youtube.com/watch?v=E39neWnw9AA</v>
      </c>
      <c r="X240" s="82" t="s">
        <v>2384</v>
      </c>
      <c r="Y240" s="82">
        <v>0</v>
      </c>
      <c r="Z240" s="89">
        <v>45292.88070601852</v>
      </c>
      <c r="AA240" s="89">
        <v>45292.88070601852</v>
      </c>
      <c r="AB240" s="82"/>
      <c r="AC240" s="82"/>
      <c r="AD240" s="85" t="s">
        <v>2423</v>
      </c>
      <c r="AE240" s="84" t="str">
        <f>REPLACE(INDEX(GroupVertices[Group],MATCH("~"&amp;Edges[[#This Row],[Vertex 1]],GroupVertices[Vertex],0)),1,1,"")</f>
        <v>4</v>
      </c>
      <c r="AF240" s="84" t="str">
        <f>REPLACE(INDEX(GroupVertices[Group],MATCH("~"&amp;Edges[[#This Row],[Vertex 2]],GroupVertices[Vertex],0)),1,1,"")</f>
        <v>4</v>
      </c>
    </row>
    <row r="241" spans="1:32" ht="15">
      <c r="A241" s="66" t="s">
        <v>431</v>
      </c>
      <c r="B241" s="66" t="s">
        <v>902</v>
      </c>
      <c r="C241" s="67"/>
      <c r="D241" s="68"/>
      <c r="E241" s="69"/>
      <c r="F241" s="70"/>
      <c r="G241" s="67"/>
      <c r="H241" s="71"/>
      <c r="I241" s="72"/>
      <c r="J241" s="72"/>
      <c r="K241" s="35"/>
      <c r="L241" s="80">
        <v>241</v>
      </c>
      <c r="M241" s="80"/>
      <c r="N241" s="74"/>
      <c r="O241" s="82" t="s">
        <v>909</v>
      </c>
      <c r="P241" s="82" t="s">
        <v>197</v>
      </c>
      <c r="Q241" s="85" t="s">
        <v>1148</v>
      </c>
      <c r="R241" s="82" t="s">
        <v>431</v>
      </c>
      <c r="S241" s="82" t="s">
        <v>1897</v>
      </c>
      <c r="T241" s="87" t="str">
        <f>HYPERLINK("http://www.youtube.com/channel/UCQsZSxMgz0ZklRXTB4p-n_A")</f>
        <v>http://www.youtube.com/channel/UCQsZSxMgz0ZklRXTB4p-n_A</v>
      </c>
      <c r="U241" s="82"/>
      <c r="V241" s="82" t="s">
        <v>2369</v>
      </c>
      <c r="W241" s="87" t="str">
        <f t="shared" si="8"/>
        <v>https://www.youtube.com/watch?v=E39neWnw9AA</v>
      </c>
      <c r="X241" s="82" t="s">
        <v>2384</v>
      </c>
      <c r="Y241" s="82">
        <v>0</v>
      </c>
      <c r="Z241" s="89">
        <v>45294.13518518519</v>
      </c>
      <c r="AA241" s="89">
        <v>45294.13518518519</v>
      </c>
      <c r="AB241" s="82"/>
      <c r="AC241" s="82"/>
      <c r="AD241" s="85" t="s">
        <v>2423</v>
      </c>
      <c r="AE241" s="84" t="str">
        <f>REPLACE(INDEX(GroupVertices[Group],MATCH("~"&amp;Edges[[#This Row],[Vertex 1]],GroupVertices[Vertex],0)),1,1,"")</f>
        <v>4</v>
      </c>
      <c r="AF241" s="84" t="str">
        <f>REPLACE(INDEX(GroupVertices[Group],MATCH("~"&amp;Edges[[#This Row],[Vertex 2]],GroupVertices[Vertex],0)),1,1,"")</f>
        <v>4</v>
      </c>
    </row>
    <row r="242" spans="1:32" ht="15">
      <c r="A242" s="66" t="s">
        <v>432</v>
      </c>
      <c r="B242" s="66" t="s">
        <v>902</v>
      </c>
      <c r="C242" s="67"/>
      <c r="D242" s="68"/>
      <c r="E242" s="69"/>
      <c r="F242" s="70"/>
      <c r="G242" s="67"/>
      <c r="H242" s="71"/>
      <c r="I242" s="72"/>
      <c r="J242" s="72"/>
      <c r="K242" s="35"/>
      <c r="L242" s="80">
        <v>242</v>
      </c>
      <c r="M242" s="80"/>
      <c r="N242" s="74"/>
      <c r="O242" s="82" t="s">
        <v>909</v>
      </c>
      <c r="P242" s="82" t="s">
        <v>197</v>
      </c>
      <c r="Q242" s="85" t="s">
        <v>1149</v>
      </c>
      <c r="R242" s="82" t="s">
        <v>432</v>
      </c>
      <c r="S242" s="82" t="s">
        <v>1898</v>
      </c>
      <c r="T242" s="87" t="str">
        <f>HYPERLINK("http://www.youtube.com/channel/UC-rcPVYiLrRYANiKXEzWGBw")</f>
        <v>http://www.youtube.com/channel/UC-rcPVYiLrRYANiKXEzWGBw</v>
      </c>
      <c r="U242" s="82"/>
      <c r="V242" s="82" t="s">
        <v>2369</v>
      </c>
      <c r="W242" s="87" t="str">
        <f t="shared" si="8"/>
        <v>https://www.youtube.com/watch?v=E39neWnw9AA</v>
      </c>
      <c r="X242" s="82" t="s">
        <v>2384</v>
      </c>
      <c r="Y242" s="82">
        <v>0</v>
      </c>
      <c r="Z242" s="89">
        <v>45295.31438657407</v>
      </c>
      <c r="AA242" s="89">
        <v>45295.31438657407</v>
      </c>
      <c r="AB242" s="82"/>
      <c r="AC242" s="82"/>
      <c r="AD242" s="85" t="s">
        <v>2423</v>
      </c>
      <c r="AE242" s="84" t="str">
        <f>REPLACE(INDEX(GroupVertices[Group],MATCH("~"&amp;Edges[[#This Row],[Vertex 1]],GroupVertices[Vertex],0)),1,1,"")</f>
        <v>4</v>
      </c>
      <c r="AF242" s="84" t="str">
        <f>REPLACE(INDEX(GroupVertices[Group],MATCH("~"&amp;Edges[[#This Row],[Vertex 2]],GroupVertices[Vertex],0)),1,1,"")</f>
        <v>4</v>
      </c>
    </row>
    <row r="243" spans="1:32" ht="15">
      <c r="A243" s="66" t="s">
        <v>433</v>
      </c>
      <c r="B243" s="66" t="s">
        <v>902</v>
      </c>
      <c r="C243" s="67"/>
      <c r="D243" s="68"/>
      <c r="E243" s="69"/>
      <c r="F243" s="70"/>
      <c r="G243" s="67"/>
      <c r="H243" s="71"/>
      <c r="I243" s="72"/>
      <c r="J243" s="72"/>
      <c r="K243" s="35"/>
      <c r="L243" s="80">
        <v>243</v>
      </c>
      <c r="M243" s="80"/>
      <c r="N243" s="74"/>
      <c r="O243" s="82" t="s">
        <v>909</v>
      </c>
      <c r="P243" s="82" t="s">
        <v>197</v>
      </c>
      <c r="Q243" s="85" t="s">
        <v>1150</v>
      </c>
      <c r="R243" s="82" t="s">
        <v>433</v>
      </c>
      <c r="S243" s="82" t="s">
        <v>1899</v>
      </c>
      <c r="T243" s="87" t="str">
        <f>HYPERLINK("http://www.youtube.com/channel/UCgqJB-dz-lidXyeFOQW3IJg")</f>
        <v>http://www.youtube.com/channel/UCgqJB-dz-lidXyeFOQW3IJg</v>
      </c>
      <c r="U243" s="82"/>
      <c r="V243" s="82" t="s">
        <v>2369</v>
      </c>
      <c r="W243" s="87" t="str">
        <f t="shared" si="8"/>
        <v>https://www.youtube.com/watch?v=E39neWnw9AA</v>
      </c>
      <c r="X243" s="82" t="s">
        <v>2384</v>
      </c>
      <c r="Y243" s="82">
        <v>0</v>
      </c>
      <c r="Z243" s="89">
        <v>45295.70835648148</v>
      </c>
      <c r="AA243" s="89">
        <v>45295.70835648148</v>
      </c>
      <c r="AB243" s="82"/>
      <c r="AC243" s="82"/>
      <c r="AD243" s="85" t="s">
        <v>2423</v>
      </c>
      <c r="AE243" s="84" t="str">
        <f>REPLACE(INDEX(GroupVertices[Group],MATCH("~"&amp;Edges[[#This Row],[Vertex 1]],GroupVertices[Vertex],0)),1,1,"")</f>
        <v>4</v>
      </c>
      <c r="AF243" s="84" t="str">
        <f>REPLACE(INDEX(GroupVertices[Group],MATCH("~"&amp;Edges[[#This Row],[Vertex 2]],GroupVertices[Vertex],0)),1,1,"")</f>
        <v>4</v>
      </c>
    </row>
    <row r="244" spans="1:32" ht="15">
      <c r="A244" s="66" t="s">
        <v>434</v>
      </c>
      <c r="B244" s="66" t="s">
        <v>902</v>
      </c>
      <c r="C244" s="67"/>
      <c r="D244" s="68"/>
      <c r="E244" s="69"/>
      <c r="F244" s="70"/>
      <c r="G244" s="67"/>
      <c r="H244" s="71"/>
      <c r="I244" s="72"/>
      <c r="J244" s="72"/>
      <c r="K244" s="35"/>
      <c r="L244" s="80">
        <v>244</v>
      </c>
      <c r="M244" s="80"/>
      <c r="N244" s="74"/>
      <c r="O244" s="82" t="s">
        <v>909</v>
      </c>
      <c r="P244" s="82" t="s">
        <v>197</v>
      </c>
      <c r="Q244" s="85" t="s">
        <v>1151</v>
      </c>
      <c r="R244" s="82" t="s">
        <v>434</v>
      </c>
      <c r="S244" s="82" t="s">
        <v>1900</v>
      </c>
      <c r="T244" s="87" t="str">
        <f>HYPERLINK("http://www.youtube.com/channel/UCuSzEk0bgB3EWoMYMnW1ZNA")</f>
        <v>http://www.youtube.com/channel/UCuSzEk0bgB3EWoMYMnW1ZNA</v>
      </c>
      <c r="U244" s="82"/>
      <c r="V244" s="82" t="s">
        <v>2369</v>
      </c>
      <c r="W244" s="87" t="str">
        <f t="shared" si="8"/>
        <v>https://www.youtube.com/watch?v=E39neWnw9AA</v>
      </c>
      <c r="X244" s="82" t="s">
        <v>2384</v>
      </c>
      <c r="Y244" s="82">
        <v>0</v>
      </c>
      <c r="Z244" s="89">
        <v>45296.13108796296</v>
      </c>
      <c r="AA244" s="89">
        <v>45296.13180555555</v>
      </c>
      <c r="AB244" s="82"/>
      <c r="AC244" s="82"/>
      <c r="AD244" s="85" t="s">
        <v>2423</v>
      </c>
      <c r="AE244" s="84" t="str">
        <f>REPLACE(INDEX(GroupVertices[Group],MATCH("~"&amp;Edges[[#This Row],[Vertex 1]],GroupVertices[Vertex],0)),1,1,"")</f>
        <v>4</v>
      </c>
      <c r="AF244" s="84" t="str">
        <f>REPLACE(INDEX(GroupVertices[Group],MATCH("~"&amp;Edges[[#This Row],[Vertex 2]],GroupVertices[Vertex],0)),1,1,"")</f>
        <v>4</v>
      </c>
    </row>
    <row r="245" spans="1:32" ht="15">
      <c r="A245" s="66" t="s">
        <v>435</v>
      </c>
      <c r="B245" s="66" t="s">
        <v>902</v>
      </c>
      <c r="C245" s="67"/>
      <c r="D245" s="68"/>
      <c r="E245" s="69"/>
      <c r="F245" s="70"/>
      <c r="G245" s="67"/>
      <c r="H245" s="71"/>
      <c r="I245" s="72"/>
      <c r="J245" s="72"/>
      <c r="K245" s="35"/>
      <c r="L245" s="80">
        <v>245</v>
      </c>
      <c r="M245" s="80"/>
      <c r="N245" s="74"/>
      <c r="O245" s="82" t="s">
        <v>909</v>
      </c>
      <c r="P245" s="82" t="s">
        <v>197</v>
      </c>
      <c r="Q245" s="85" t="s">
        <v>1152</v>
      </c>
      <c r="R245" s="82" t="s">
        <v>435</v>
      </c>
      <c r="S245" s="82" t="s">
        <v>1901</v>
      </c>
      <c r="T245" s="87" t="str">
        <f>HYPERLINK("http://www.youtube.com/channel/UCd9JNguApr-6LI7Gqi5wedg")</f>
        <v>http://www.youtube.com/channel/UCd9JNguApr-6LI7Gqi5wedg</v>
      </c>
      <c r="U245" s="82"/>
      <c r="V245" s="82" t="s">
        <v>2369</v>
      </c>
      <c r="W245" s="87" t="str">
        <f t="shared" si="8"/>
        <v>https://www.youtube.com/watch?v=E39neWnw9AA</v>
      </c>
      <c r="X245" s="82" t="s">
        <v>2384</v>
      </c>
      <c r="Y245" s="82">
        <v>0</v>
      </c>
      <c r="Z245" s="89">
        <v>45299.04497685185</v>
      </c>
      <c r="AA245" s="89">
        <v>45299.04497685185</v>
      </c>
      <c r="AB245" s="82"/>
      <c r="AC245" s="82"/>
      <c r="AD245" s="85" t="s">
        <v>2423</v>
      </c>
      <c r="AE245" s="84" t="str">
        <f>REPLACE(INDEX(GroupVertices[Group],MATCH("~"&amp;Edges[[#This Row],[Vertex 1]],GroupVertices[Vertex],0)),1,1,"")</f>
        <v>4</v>
      </c>
      <c r="AF245" s="84" t="str">
        <f>REPLACE(INDEX(GroupVertices[Group],MATCH("~"&amp;Edges[[#This Row],[Vertex 2]],GroupVertices[Vertex],0)),1,1,"")</f>
        <v>4</v>
      </c>
    </row>
    <row r="246" spans="1:32" ht="15">
      <c r="A246" s="66" t="s">
        <v>436</v>
      </c>
      <c r="B246" s="66" t="s">
        <v>902</v>
      </c>
      <c r="C246" s="67"/>
      <c r="D246" s="68"/>
      <c r="E246" s="69"/>
      <c r="F246" s="70"/>
      <c r="G246" s="67"/>
      <c r="H246" s="71"/>
      <c r="I246" s="72"/>
      <c r="J246" s="72"/>
      <c r="K246" s="35"/>
      <c r="L246" s="80">
        <v>246</v>
      </c>
      <c r="M246" s="80"/>
      <c r="N246" s="74"/>
      <c r="O246" s="82" t="s">
        <v>909</v>
      </c>
      <c r="P246" s="82" t="s">
        <v>197</v>
      </c>
      <c r="Q246" s="85" t="s">
        <v>1153</v>
      </c>
      <c r="R246" s="82" t="s">
        <v>436</v>
      </c>
      <c r="S246" s="82" t="s">
        <v>1902</v>
      </c>
      <c r="T246" s="87" t="str">
        <f>HYPERLINK("http://www.youtube.com/channel/UCm1KjKwfYWsxp72BqKiV0cw")</f>
        <v>http://www.youtube.com/channel/UCm1KjKwfYWsxp72BqKiV0cw</v>
      </c>
      <c r="U246" s="82"/>
      <c r="V246" s="82" t="s">
        <v>2369</v>
      </c>
      <c r="W246" s="87" t="str">
        <f t="shared" si="8"/>
        <v>https://www.youtube.com/watch?v=E39neWnw9AA</v>
      </c>
      <c r="X246" s="82" t="s">
        <v>2384</v>
      </c>
      <c r="Y246" s="82">
        <v>0</v>
      </c>
      <c r="Z246" s="89">
        <v>45300.28712962963</v>
      </c>
      <c r="AA246" s="89">
        <v>45300.28712962963</v>
      </c>
      <c r="AB246" s="82"/>
      <c r="AC246" s="82"/>
      <c r="AD246" s="85" t="s">
        <v>2423</v>
      </c>
      <c r="AE246" s="84" t="str">
        <f>REPLACE(INDEX(GroupVertices[Group],MATCH("~"&amp;Edges[[#This Row],[Vertex 1]],GroupVertices[Vertex],0)),1,1,"")</f>
        <v>4</v>
      </c>
      <c r="AF246" s="84" t="str">
        <f>REPLACE(INDEX(GroupVertices[Group],MATCH("~"&amp;Edges[[#This Row],[Vertex 2]],GroupVertices[Vertex],0)),1,1,"")</f>
        <v>4</v>
      </c>
    </row>
    <row r="247" spans="1:32" ht="15">
      <c r="A247" s="66" t="s">
        <v>437</v>
      </c>
      <c r="B247" s="66" t="s">
        <v>901</v>
      </c>
      <c r="C247" s="67"/>
      <c r="D247" s="68"/>
      <c r="E247" s="69"/>
      <c r="F247" s="70"/>
      <c r="G247" s="67"/>
      <c r="H247" s="71"/>
      <c r="I247" s="72"/>
      <c r="J247" s="72"/>
      <c r="K247" s="35"/>
      <c r="L247" s="80">
        <v>247</v>
      </c>
      <c r="M247" s="80"/>
      <c r="N247" s="74"/>
      <c r="O247" s="82" t="s">
        <v>909</v>
      </c>
      <c r="P247" s="82" t="s">
        <v>197</v>
      </c>
      <c r="Q247" s="85" t="s">
        <v>1154</v>
      </c>
      <c r="R247" s="82" t="s">
        <v>437</v>
      </c>
      <c r="S247" s="82" t="s">
        <v>1903</v>
      </c>
      <c r="T247" s="87" t="str">
        <f>HYPERLINK("http://www.youtube.com/channel/UCAgfcS5orRt1EH4cF6LN7iA")</f>
        <v>http://www.youtube.com/channel/UCAgfcS5orRt1EH4cF6LN7iA</v>
      </c>
      <c r="U247" s="82"/>
      <c r="V247" s="82" t="s">
        <v>2368</v>
      </c>
      <c r="W247" s="87" t="str">
        <f>HYPERLINK("https://www.youtube.com/watch?v=gLvkWpnzba8")</f>
        <v>https://www.youtube.com/watch?v=gLvkWpnzba8</v>
      </c>
      <c r="X247" s="82" t="s">
        <v>2384</v>
      </c>
      <c r="Y247" s="82">
        <v>0</v>
      </c>
      <c r="Z247" s="89">
        <v>45303.69862268519</v>
      </c>
      <c r="AA247" s="89">
        <v>45303.69862268519</v>
      </c>
      <c r="AB247" s="82"/>
      <c r="AC247" s="82"/>
      <c r="AD247" s="85" t="s">
        <v>2423</v>
      </c>
      <c r="AE247" s="84" t="str">
        <f>REPLACE(INDEX(GroupVertices[Group],MATCH("~"&amp;Edges[[#This Row],[Vertex 1]],GroupVertices[Vertex],0)),1,1,"")</f>
        <v>4</v>
      </c>
      <c r="AF247" s="84" t="str">
        <f>REPLACE(INDEX(GroupVertices[Group],MATCH("~"&amp;Edges[[#This Row],[Vertex 2]],GroupVertices[Vertex],0)),1,1,"")</f>
        <v>6</v>
      </c>
    </row>
    <row r="248" spans="1:32" ht="15">
      <c r="A248" s="66" t="s">
        <v>437</v>
      </c>
      <c r="B248" s="66" t="s">
        <v>902</v>
      </c>
      <c r="C248" s="67"/>
      <c r="D248" s="68"/>
      <c r="E248" s="69"/>
      <c r="F248" s="70"/>
      <c r="G248" s="67"/>
      <c r="H248" s="71"/>
      <c r="I248" s="72"/>
      <c r="J248" s="72"/>
      <c r="K248" s="35"/>
      <c r="L248" s="80">
        <v>248</v>
      </c>
      <c r="M248" s="80"/>
      <c r="N248" s="74"/>
      <c r="O248" s="82" t="s">
        <v>909</v>
      </c>
      <c r="P248" s="82" t="s">
        <v>197</v>
      </c>
      <c r="Q248" s="85" t="s">
        <v>1154</v>
      </c>
      <c r="R248" s="82" t="s">
        <v>437</v>
      </c>
      <c r="S248" s="82" t="s">
        <v>1903</v>
      </c>
      <c r="T248" s="87" t="str">
        <f>HYPERLINK("http://www.youtube.com/channel/UCAgfcS5orRt1EH4cF6LN7iA")</f>
        <v>http://www.youtube.com/channel/UCAgfcS5orRt1EH4cF6LN7iA</v>
      </c>
      <c r="U248" s="82"/>
      <c r="V248" s="82" t="s">
        <v>2369</v>
      </c>
      <c r="W248" s="87" t="str">
        <f aca="true" t="shared" si="9" ref="W248:W255">HYPERLINK("https://www.youtube.com/watch?v=E39neWnw9AA")</f>
        <v>https://www.youtube.com/watch?v=E39neWnw9AA</v>
      </c>
      <c r="X248" s="82" t="s">
        <v>2384</v>
      </c>
      <c r="Y248" s="82">
        <v>0</v>
      </c>
      <c r="Z248" s="89">
        <v>45303.69824074074</v>
      </c>
      <c r="AA248" s="89">
        <v>45303.69824074074</v>
      </c>
      <c r="AB248" s="82"/>
      <c r="AC248" s="82"/>
      <c r="AD248" s="85" t="s">
        <v>2423</v>
      </c>
      <c r="AE248" s="84" t="str">
        <f>REPLACE(INDEX(GroupVertices[Group],MATCH("~"&amp;Edges[[#This Row],[Vertex 1]],GroupVertices[Vertex],0)),1,1,"")</f>
        <v>4</v>
      </c>
      <c r="AF248" s="84" t="str">
        <f>REPLACE(INDEX(GroupVertices[Group],MATCH("~"&amp;Edges[[#This Row],[Vertex 2]],GroupVertices[Vertex],0)),1,1,"")</f>
        <v>4</v>
      </c>
    </row>
    <row r="249" spans="1:32" ht="15">
      <c r="A249" s="66" t="s">
        <v>438</v>
      </c>
      <c r="B249" s="66" t="s">
        <v>902</v>
      </c>
      <c r="C249" s="67"/>
      <c r="D249" s="68"/>
      <c r="E249" s="69"/>
      <c r="F249" s="70"/>
      <c r="G249" s="67"/>
      <c r="H249" s="71"/>
      <c r="I249" s="72"/>
      <c r="J249" s="72"/>
      <c r="K249" s="35"/>
      <c r="L249" s="80">
        <v>249</v>
      </c>
      <c r="M249" s="80"/>
      <c r="N249" s="74"/>
      <c r="O249" s="82" t="s">
        <v>909</v>
      </c>
      <c r="P249" s="82" t="s">
        <v>197</v>
      </c>
      <c r="Q249" s="85" t="s">
        <v>1155</v>
      </c>
      <c r="R249" s="82" t="s">
        <v>438</v>
      </c>
      <c r="S249" s="82" t="s">
        <v>1904</v>
      </c>
      <c r="T249" s="87" t="str">
        <f>HYPERLINK("http://www.youtube.com/channel/UCtCNgmJwBZ9m6EtQR1CkZJA")</f>
        <v>http://www.youtube.com/channel/UCtCNgmJwBZ9m6EtQR1CkZJA</v>
      </c>
      <c r="U249" s="82"/>
      <c r="V249" s="82" t="s">
        <v>2369</v>
      </c>
      <c r="W249" s="87" t="str">
        <f t="shared" si="9"/>
        <v>https://www.youtube.com/watch?v=E39neWnw9AA</v>
      </c>
      <c r="X249" s="82" t="s">
        <v>2384</v>
      </c>
      <c r="Y249" s="82">
        <v>0</v>
      </c>
      <c r="Z249" s="89">
        <v>45304.722974537035</v>
      </c>
      <c r="AA249" s="89">
        <v>45304.722974537035</v>
      </c>
      <c r="AB249" s="82"/>
      <c r="AC249" s="82"/>
      <c r="AD249" s="85" t="s">
        <v>2423</v>
      </c>
      <c r="AE249" s="84" t="str">
        <f>REPLACE(INDEX(GroupVertices[Group],MATCH("~"&amp;Edges[[#This Row],[Vertex 1]],GroupVertices[Vertex],0)),1,1,"")</f>
        <v>4</v>
      </c>
      <c r="AF249" s="84" t="str">
        <f>REPLACE(INDEX(GroupVertices[Group],MATCH("~"&amp;Edges[[#This Row],[Vertex 2]],GroupVertices[Vertex],0)),1,1,"")</f>
        <v>4</v>
      </c>
    </row>
    <row r="250" spans="1:32" ht="15">
      <c r="A250" s="66" t="s">
        <v>439</v>
      </c>
      <c r="B250" s="66" t="s">
        <v>902</v>
      </c>
      <c r="C250" s="67"/>
      <c r="D250" s="68"/>
      <c r="E250" s="69"/>
      <c r="F250" s="70"/>
      <c r="G250" s="67"/>
      <c r="H250" s="71"/>
      <c r="I250" s="72"/>
      <c r="J250" s="72"/>
      <c r="K250" s="35"/>
      <c r="L250" s="80">
        <v>250</v>
      </c>
      <c r="M250" s="80"/>
      <c r="N250" s="74"/>
      <c r="O250" s="82" t="s">
        <v>909</v>
      </c>
      <c r="P250" s="82" t="s">
        <v>197</v>
      </c>
      <c r="Q250" s="85" t="s">
        <v>1156</v>
      </c>
      <c r="R250" s="82" t="s">
        <v>439</v>
      </c>
      <c r="S250" s="82" t="s">
        <v>1905</v>
      </c>
      <c r="T250" s="87" t="str">
        <f>HYPERLINK("http://www.youtube.com/channel/UCSfSEgfzZPQmeCGwI3tMSqg")</f>
        <v>http://www.youtube.com/channel/UCSfSEgfzZPQmeCGwI3tMSqg</v>
      </c>
      <c r="U250" s="82"/>
      <c r="V250" s="82" t="s">
        <v>2369</v>
      </c>
      <c r="W250" s="87" t="str">
        <f t="shared" si="9"/>
        <v>https://www.youtube.com/watch?v=E39neWnw9AA</v>
      </c>
      <c r="X250" s="82" t="s">
        <v>2384</v>
      </c>
      <c r="Y250" s="82">
        <v>0</v>
      </c>
      <c r="Z250" s="89">
        <v>45305.06826388889</v>
      </c>
      <c r="AA250" s="89">
        <v>45305.0691087963</v>
      </c>
      <c r="AB250" s="82"/>
      <c r="AC250" s="82"/>
      <c r="AD250" s="85" t="s">
        <v>2423</v>
      </c>
      <c r="AE250" s="84" t="str">
        <f>REPLACE(INDEX(GroupVertices[Group],MATCH("~"&amp;Edges[[#This Row],[Vertex 1]],GroupVertices[Vertex],0)),1,1,"")</f>
        <v>4</v>
      </c>
      <c r="AF250" s="84" t="str">
        <f>REPLACE(INDEX(GroupVertices[Group],MATCH("~"&amp;Edges[[#This Row],[Vertex 2]],GroupVertices[Vertex],0)),1,1,"")</f>
        <v>4</v>
      </c>
    </row>
    <row r="251" spans="1:32" ht="15">
      <c r="A251" s="66" t="s">
        <v>440</v>
      </c>
      <c r="B251" s="66" t="s">
        <v>902</v>
      </c>
      <c r="C251" s="67"/>
      <c r="D251" s="68"/>
      <c r="E251" s="69"/>
      <c r="F251" s="70"/>
      <c r="G251" s="67"/>
      <c r="H251" s="71"/>
      <c r="I251" s="72"/>
      <c r="J251" s="72"/>
      <c r="K251" s="35"/>
      <c r="L251" s="80">
        <v>251</v>
      </c>
      <c r="M251" s="80"/>
      <c r="N251" s="74"/>
      <c r="O251" s="82" t="s">
        <v>909</v>
      </c>
      <c r="P251" s="82" t="s">
        <v>197</v>
      </c>
      <c r="Q251" s="85" t="s">
        <v>1157</v>
      </c>
      <c r="R251" s="82" t="s">
        <v>440</v>
      </c>
      <c r="S251" s="82" t="s">
        <v>1906</v>
      </c>
      <c r="T251" s="87" t="str">
        <f>HYPERLINK("http://www.youtube.com/channel/UCGhPCqsbIY10V576LMxYaww")</f>
        <v>http://www.youtube.com/channel/UCGhPCqsbIY10V576LMxYaww</v>
      </c>
      <c r="U251" s="82"/>
      <c r="V251" s="82" t="s">
        <v>2369</v>
      </c>
      <c r="W251" s="87" t="str">
        <f t="shared" si="9"/>
        <v>https://www.youtube.com/watch?v=E39neWnw9AA</v>
      </c>
      <c r="X251" s="82" t="s">
        <v>2384</v>
      </c>
      <c r="Y251" s="82">
        <v>0</v>
      </c>
      <c r="Z251" s="89">
        <v>45306.20377314815</v>
      </c>
      <c r="AA251" s="89">
        <v>45306.20377314815</v>
      </c>
      <c r="AB251" s="82"/>
      <c r="AC251" s="82"/>
      <c r="AD251" s="85" t="s">
        <v>2423</v>
      </c>
      <c r="AE251" s="84" t="str">
        <f>REPLACE(INDEX(GroupVertices[Group],MATCH("~"&amp;Edges[[#This Row],[Vertex 1]],GroupVertices[Vertex],0)),1,1,"")</f>
        <v>4</v>
      </c>
      <c r="AF251" s="84" t="str">
        <f>REPLACE(INDEX(GroupVertices[Group],MATCH("~"&amp;Edges[[#This Row],[Vertex 2]],GroupVertices[Vertex],0)),1,1,"")</f>
        <v>4</v>
      </c>
    </row>
    <row r="252" spans="1:32" ht="15">
      <c r="A252" s="66" t="s">
        <v>441</v>
      </c>
      <c r="B252" s="66" t="s">
        <v>902</v>
      </c>
      <c r="C252" s="67"/>
      <c r="D252" s="68"/>
      <c r="E252" s="69"/>
      <c r="F252" s="70"/>
      <c r="G252" s="67"/>
      <c r="H252" s="71"/>
      <c r="I252" s="72"/>
      <c r="J252" s="72"/>
      <c r="K252" s="35"/>
      <c r="L252" s="80">
        <v>252</v>
      </c>
      <c r="M252" s="80"/>
      <c r="N252" s="74"/>
      <c r="O252" s="82" t="s">
        <v>909</v>
      </c>
      <c r="P252" s="82" t="s">
        <v>197</v>
      </c>
      <c r="Q252" s="85" t="s">
        <v>1158</v>
      </c>
      <c r="R252" s="82" t="s">
        <v>441</v>
      </c>
      <c r="S252" s="82" t="s">
        <v>1907</v>
      </c>
      <c r="T252" s="87" t="str">
        <f>HYPERLINK("http://www.youtube.com/channel/UCHF9prdfEY2TmPZTTdgYbsg")</f>
        <v>http://www.youtube.com/channel/UCHF9prdfEY2TmPZTTdgYbsg</v>
      </c>
      <c r="U252" s="82"/>
      <c r="V252" s="82" t="s">
        <v>2369</v>
      </c>
      <c r="W252" s="87" t="str">
        <f t="shared" si="9"/>
        <v>https://www.youtube.com/watch?v=E39neWnw9AA</v>
      </c>
      <c r="X252" s="82" t="s">
        <v>2384</v>
      </c>
      <c r="Y252" s="82">
        <v>0</v>
      </c>
      <c r="Z252" s="89">
        <v>45308.835023148145</v>
      </c>
      <c r="AA252" s="89">
        <v>45308.835023148145</v>
      </c>
      <c r="AB252" s="82"/>
      <c r="AC252" s="82"/>
      <c r="AD252" s="85" t="s">
        <v>2423</v>
      </c>
      <c r="AE252" s="84" t="str">
        <f>REPLACE(INDEX(GroupVertices[Group],MATCH("~"&amp;Edges[[#This Row],[Vertex 1]],GroupVertices[Vertex],0)),1,1,"")</f>
        <v>4</v>
      </c>
      <c r="AF252" s="84" t="str">
        <f>REPLACE(INDEX(GroupVertices[Group],MATCH("~"&amp;Edges[[#This Row],[Vertex 2]],GroupVertices[Vertex],0)),1,1,"")</f>
        <v>4</v>
      </c>
    </row>
    <row r="253" spans="1:32" ht="15">
      <c r="A253" s="66" t="s">
        <v>441</v>
      </c>
      <c r="B253" s="66" t="s">
        <v>902</v>
      </c>
      <c r="C253" s="67"/>
      <c r="D253" s="68"/>
      <c r="E253" s="69"/>
      <c r="F253" s="70"/>
      <c r="G253" s="67"/>
      <c r="H253" s="71"/>
      <c r="I253" s="72"/>
      <c r="J253" s="72"/>
      <c r="K253" s="35"/>
      <c r="L253" s="80">
        <v>253</v>
      </c>
      <c r="M253" s="80"/>
      <c r="N253" s="74"/>
      <c r="O253" s="82" t="s">
        <v>909</v>
      </c>
      <c r="P253" s="82" t="s">
        <v>197</v>
      </c>
      <c r="Q253" s="85" t="s">
        <v>1159</v>
      </c>
      <c r="R253" s="82" t="s">
        <v>441</v>
      </c>
      <c r="S253" s="82" t="s">
        <v>1907</v>
      </c>
      <c r="T253" s="87" t="str">
        <f>HYPERLINK("http://www.youtube.com/channel/UCHF9prdfEY2TmPZTTdgYbsg")</f>
        <v>http://www.youtube.com/channel/UCHF9prdfEY2TmPZTTdgYbsg</v>
      </c>
      <c r="U253" s="82"/>
      <c r="V253" s="82" t="s">
        <v>2369</v>
      </c>
      <c r="W253" s="87" t="str">
        <f t="shared" si="9"/>
        <v>https://www.youtube.com/watch?v=E39neWnw9AA</v>
      </c>
      <c r="X253" s="82" t="s">
        <v>2384</v>
      </c>
      <c r="Y253" s="82">
        <v>0</v>
      </c>
      <c r="Z253" s="89">
        <v>45308.84332175926</v>
      </c>
      <c r="AA253" s="89">
        <v>45308.84332175926</v>
      </c>
      <c r="AB253" s="82"/>
      <c r="AC253" s="82"/>
      <c r="AD253" s="85" t="s">
        <v>2423</v>
      </c>
      <c r="AE253" s="84" t="str">
        <f>REPLACE(INDEX(GroupVertices[Group],MATCH("~"&amp;Edges[[#This Row],[Vertex 1]],GroupVertices[Vertex],0)),1,1,"")</f>
        <v>4</v>
      </c>
      <c r="AF253" s="84" t="str">
        <f>REPLACE(INDEX(GroupVertices[Group],MATCH("~"&amp;Edges[[#This Row],[Vertex 2]],GroupVertices[Vertex],0)),1,1,"")</f>
        <v>4</v>
      </c>
    </row>
    <row r="254" spans="1:32" ht="15">
      <c r="A254" s="66" t="s">
        <v>442</v>
      </c>
      <c r="B254" s="66" t="s">
        <v>902</v>
      </c>
      <c r="C254" s="67"/>
      <c r="D254" s="68"/>
      <c r="E254" s="69"/>
      <c r="F254" s="70"/>
      <c r="G254" s="67"/>
      <c r="H254" s="71"/>
      <c r="I254" s="72"/>
      <c r="J254" s="72"/>
      <c r="K254" s="35"/>
      <c r="L254" s="80">
        <v>254</v>
      </c>
      <c r="M254" s="80"/>
      <c r="N254" s="74"/>
      <c r="O254" s="82" t="s">
        <v>909</v>
      </c>
      <c r="P254" s="82" t="s">
        <v>197</v>
      </c>
      <c r="Q254" s="85" t="s">
        <v>1160</v>
      </c>
      <c r="R254" s="82" t="s">
        <v>442</v>
      </c>
      <c r="S254" s="82" t="s">
        <v>1908</v>
      </c>
      <c r="T254" s="87" t="str">
        <f>HYPERLINK("http://www.youtube.com/channel/UCDZ52wqqTchDtJLDofkcEMA")</f>
        <v>http://www.youtube.com/channel/UCDZ52wqqTchDtJLDofkcEMA</v>
      </c>
      <c r="U254" s="82"/>
      <c r="V254" s="82" t="s">
        <v>2369</v>
      </c>
      <c r="W254" s="87" t="str">
        <f t="shared" si="9"/>
        <v>https://www.youtube.com/watch?v=E39neWnw9AA</v>
      </c>
      <c r="X254" s="82" t="s">
        <v>2384</v>
      </c>
      <c r="Y254" s="82">
        <v>0</v>
      </c>
      <c r="Z254" s="89">
        <v>45309.5796412037</v>
      </c>
      <c r="AA254" s="89">
        <v>45309.5796412037</v>
      </c>
      <c r="AB254" s="82"/>
      <c r="AC254" s="82"/>
      <c r="AD254" s="85" t="s">
        <v>2423</v>
      </c>
      <c r="AE254" s="84" t="str">
        <f>REPLACE(INDEX(GroupVertices[Group],MATCH("~"&amp;Edges[[#This Row],[Vertex 1]],GroupVertices[Vertex],0)),1,1,"")</f>
        <v>4</v>
      </c>
      <c r="AF254" s="84" t="str">
        <f>REPLACE(INDEX(GroupVertices[Group],MATCH("~"&amp;Edges[[#This Row],[Vertex 2]],GroupVertices[Vertex],0)),1,1,"")</f>
        <v>4</v>
      </c>
    </row>
    <row r="255" spans="1:32" ht="15">
      <c r="A255" s="66" t="s">
        <v>443</v>
      </c>
      <c r="B255" s="66" t="s">
        <v>902</v>
      </c>
      <c r="C255" s="67"/>
      <c r="D255" s="68"/>
      <c r="E255" s="69"/>
      <c r="F255" s="70"/>
      <c r="G255" s="67"/>
      <c r="H255" s="71"/>
      <c r="I255" s="72"/>
      <c r="J255" s="72"/>
      <c r="K255" s="35"/>
      <c r="L255" s="80">
        <v>255</v>
      </c>
      <c r="M255" s="80"/>
      <c r="N255" s="74"/>
      <c r="O255" s="82" t="s">
        <v>909</v>
      </c>
      <c r="P255" s="82" t="s">
        <v>197</v>
      </c>
      <c r="Q255" s="85" t="s">
        <v>1161</v>
      </c>
      <c r="R255" s="82" t="s">
        <v>443</v>
      </c>
      <c r="S255" s="82" t="s">
        <v>1909</v>
      </c>
      <c r="T255" s="87" t="str">
        <f>HYPERLINK("http://www.youtube.com/channel/UC5syL2CCKytMHFJw-VY6I4Q")</f>
        <v>http://www.youtube.com/channel/UC5syL2CCKytMHFJw-VY6I4Q</v>
      </c>
      <c r="U255" s="82"/>
      <c r="V255" s="82" t="s">
        <v>2369</v>
      </c>
      <c r="W255" s="87" t="str">
        <f t="shared" si="9"/>
        <v>https://www.youtube.com/watch?v=E39neWnw9AA</v>
      </c>
      <c r="X255" s="82" t="s">
        <v>2384</v>
      </c>
      <c r="Y255" s="82">
        <v>0</v>
      </c>
      <c r="Z255" s="89">
        <v>45311.19372685185</v>
      </c>
      <c r="AA255" s="89">
        <v>45311.19372685185</v>
      </c>
      <c r="AB255" s="82"/>
      <c r="AC255" s="82"/>
      <c r="AD255" s="85" t="s">
        <v>2423</v>
      </c>
      <c r="AE255" s="84" t="str">
        <f>REPLACE(INDEX(GroupVertices[Group],MATCH("~"&amp;Edges[[#This Row],[Vertex 1]],GroupVertices[Vertex],0)),1,1,"")</f>
        <v>4</v>
      </c>
      <c r="AF255" s="84" t="str">
        <f>REPLACE(INDEX(GroupVertices[Group],MATCH("~"&amp;Edges[[#This Row],[Vertex 2]],GroupVertices[Vertex],0)),1,1,"")</f>
        <v>4</v>
      </c>
    </row>
    <row r="256" spans="1:32" ht="15">
      <c r="A256" s="66" t="s">
        <v>444</v>
      </c>
      <c r="B256" s="66" t="s">
        <v>907</v>
      </c>
      <c r="C256" s="67"/>
      <c r="D256" s="68"/>
      <c r="E256" s="69"/>
      <c r="F256" s="70"/>
      <c r="G256" s="67"/>
      <c r="H256" s="71"/>
      <c r="I256" s="72"/>
      <c r="J256" s="72"/>
      <c r="K256" s="35"/>
      <c r="L256" s="80">
        <v>256</v>
      </c>
      <c r="M256" s="80"/>
      <c r="N256" s="74"/>
      <c r="O256" s="82" t="s">
        <v>909</v>
      </c>
      <c r="P256" s="82" t="s">
        <v>197</v>
      </c>
      <c r="Q256" s="85" t="s">
        <v>1162</v>
      </c>
      <c r="R256" s="82" t="s">
        <v>444</v>
      </c>
      <c r="S256" s="82" t="s">
        <v>1910</v>
      </c>
      <c r="T256" s="87" t="str">
        <f>HYPERLINK("http://www.youtube.com/channel/UC9XCUftqMgJk69qOtBULM2g")</f>
        <v>http://www.youtube.com/channel/UC9XCUftqMgJk69qOtBULM2g</v>
      </c>
      <c r="U256" s="82"/>
      <c r="V256" s="82" t="s">
        <v>2370</v>
      </c>
      <c r="W256" s="87" t="str">
        <f aca="true" t="shared" si="10" ref="W256:W269">HYPERLINK("https://www.youtube.com/watch?v=yBF2fGUO5cQ")</f>
        <v>https://www.youtube.com/watch?v=yBF2fGUO5cQ</v>
      </c>
      <c r="X256" s="82" t="s">
        <v>2384</v>
      </c>
      <c r="Y256" s="82">
        <v>1</v>
      </c>
      <c r="Z256" s="89">
        <v>45282.91159722222</v>
      </c>
      <c r="AA256" s="89">
        <v>45282.91159722222</v>
      </c>
      <c r="AB256" s="82"/>
      <c r="AC256" s="82"/>
      <c r="AD256" s="85" t="s">
        <v>2423</v>
      </c>
      <c r="AE256" s="84" t="str">
        <f>REPLACE(INDEX(GroupVertices[Group],MATCH("~"&amp;Edges[[#This Row],[Vertex 1]],GroupVertices[Vertex],0)),1,1,"")</f>
        <v>1</v>
      </c>
      <c r="AF256" s="84" t="str">
        <f>REPLACE(INDEX(GroupVertices[Group],MATCH("~"&amp;Edges[[#This Row],[Vertex 2]],GroupVertices[Vertex],0)),1,1,"")</f>
        <v>1</v>
      </c>
    </row>
    <row r="257" spans="1:32" ht="15">
      <c r="A257" s="66" t="s">
        <v>445</v>
      </c>
      <c r="B257" s="66" t="s">
        <v>907</v>
      </c>
      <c r="C257" s="67"/>
      <c r="D257" s="68"/>
      <c r="E257" s="69"/>
      <c r="F257" s="70"/>
      <c r="G257" s="67"/>
      <c r="H257" s="71"/>
      <c r="I257" s="72"/>
      <c r="J257" s="72"/>
      <c r="K257" s="35"/>
      <c r="L257" s="80">
        <v>257</v>
      </c>
      <c r="M257" s="80"/>
      <c r="N257" s="74"/>
      <c r="O257" s="82" t="s">
        <v>909</v>
      </c>
      <c r="P257" s="82" t="s">
        <v>197</v>
      </c>
      <c r="Q257" s="85" t="s">
        <v>1163</v>
      </c>
      <c r="R257" s="82" t="s">
        <v>445</v>
      </c>
      <c r="S257" s="82" t="s">
        <v>1911</v>
      </c>
      <c r="T257" s="87" t="str">
        <f>HYPERLINK("http://www.youtube.com/channel/UCL9G7J-Xr2X6QMK0YULjCsg")</f>
        <v>http://www.youtube.com/channel/UCL9G7J-Xr2X6QMK0YULjCsg</v>
      </c>
      <c r="U257" s="82"/>
      <c r="V257" s="82" t="s">
        <v>2370</v>
      </c>
      <c r="W257" s="87" t="str">
        <f t="shared" si="10"/>
        <v>https://www.youtube.com/watch?v=yBF2fGUO5cQ</v>
      </c>
      <c r="X257" s="82" t="s">
        <v>2384</v>
      </c>
      <c r="Y257" s="82">
        <v>4</v>
      </c>
      <c r="Z257" s="89">
        <v>45282.96366898148</v>
      </c>
      <c r="AA257" s="89">
        <v>45282.96366898148</v>
      </c>
      <c r="AB257" s="82"/>
      <c r="AC257" s="82"/>
      <c r="AD257" s="85" t="s">
        <v>2423</v>
      </c>
      <c r="AE257" s="84" t="str">
        <f>REPLACE(INDEX(GroupVertices[Group],MATCH("~"&amp;Edges[[#This Row],[Vertex 1]],GroupVertices[Vertex],0)),1,1,"")</f>
        <v>1</v>
      </c>
      <c r="AF257" s="84" t="str">
        <f>REPLACE(INDEX(GroupVertices[Group],MATCH("~"&amp;Edges[[#This Row],[Vertex 2]],GroupVertices[Vertex],0)),1,1,"")</f>
        <v>1</v>
      </c>
    </row>
    <row r="258" spans="1:32" ht="15">
      <c r="A258" s="66" t="s">
        <v>446</v>
      </c>
      <c r="B258" s="66" t="s">
        <v>907</v>
      </c>
      <c r="C258" s="67"/>
      <c r="D258" s="68"/>
      <c r="E258" s="69"/>
      <c r="F258" s="70"/>
      <c r="G258" s="67"/>
      <c r="H258" s="71"/>
      <c r="I258" s="72"/>
      <c r="J258" s="72"/>
      <c r="K258" s="35"/>
      <c r="L258" s="80">
        <v>258</v>
      </c>
      <c r="M258" s="80"/>
      <c r="N258" s="74"/>
      <c r="O258" s="82" t="s">
        <v>909</v>
      </c>
      <c r="P258" s="82" t="s">
        <v>197</v>
      </c>
      <c r="Q258" s="85" t="s">
        <v>1164</v>
      </c>
      <c r="R258" s="82" t="s">
        <v>446</v>
      </c>
      <c r="S258" s="82" t="s">
        <v>1912</v>
      </c>
      <c r="T258" s="87" t="str">
        <f>HYPERLINK("http://www.youtube.com/channel/UCEuS0hW9NUAFyd56mzqitkQ")</f>
        <v>http://www.youtube.com/channel/UCEuS0hW9NUAFyd56mzqitkQ</v>
      </c>
      <c r="U258" s="82"/>
      <c r="V258" s="82" t="s">
        <v>2370</v>
      </c>
      <c r="W258" s="87" t="str">
        <f t="shared" si="10"/>
        <v>https://www.youtube.com/watch?v=yBF2fGUO5cQ</v>
      </c>
      <c r="X258" s="82" t="s">
        <v>2384</v>
      </c>
      <c r="Y258" s="82">
        <v>22</v>
      </c>
      <c r="Z258" s="89">
        <v>45283.12621527778</v>
      </c>
      <c r="AA258" s="89">
        <v>45283.12621527778</v>
      </c>
      <c r="AB258" s="82"/>
      <c r="AC258" s="82"/>
      <c r="AD258" s="85" t="s">
        <v>2423</v>
      </c>
      <c r="AE258" s="84" t="str">
        <f>REPLACE(INDEX(GroupVertices[Group],MATCH("~"&amp;Edges[[#This Row],[Vertex 1]],GroupVertices[Vertex],0)),1,1,"")</f>
        <v>1</v>
      </c>
      <c r="AF258" s="84" t="str">
        <f>REPLACE(INDEX(GroupVertices[Group],MATCH("~"&amp;Edges[[#This Row],[Vertex 2]],GroupVertices[Vertex],0)),1,1,"")</f>
        <v>1</v>
      </c>
    </row>
    <row r="259" spans="1:32" ht="15">
      <c r="A259" s="66" t="s">
        <v>447</v>
      </c>
      <c r="B259" s="66" t="s">
        <v>907</v>
      </c>
      <c r="C259" s="67"/>
      <c r="D259" s="68"/>
      <c r="E259" s="69"/>
      <c r="F259" s="70"/>
      <c r="G259" s="67"/>
      <c r="H259" s="71"/>
      <c r="I259" s="72"/>
      <c r="J259" s="72"/>
      <c r="K259" s="35"/>
      <c r="L259" s="80">
        <v>259</v>
      </c>
      <c r="M259" s="80"/>
      <c r="N259" s="74"/>
      <c r="O259" s="82" t="s">
        <v>909</v>
      </c>
      <c r="P259" s="82" t="s">
        <v>197</v>
      </c>
      <c r="Q259" s="85" t="s">
        <v>1165</v>
      </c>
      <c r="R259" s="82" t="s">
        <v>447</v>
      </c>
      <c r="S259" s="82" t="s">
        <v>1913</v>
      </c>
      <c r="T259" s="87" t="str">
        <f>HYPERLINK("http://www.youtube.com/channel/UCf1Yb5rIcR0fanMNmwH5RtA")</f>
        <v>http://www.youtube.com/channel/UCf1Yb5rIcR0fanMNmwH5RtA</v>
      </c>
      <c r="U259" s="82"/>
      <c r="V259" s="82" t="s">
        <v>2370</v>
      </c>
      <c r="W259" s="87" t="str">
        <f t="shared" si="10"/>
        <v>https://www.youtube.com/watch?v=yBF2fGUO5cQ</v>
      </c>
      <c r="X259" s="82" t="s">
        <v>2384</v>
      </c>
      <c r="Y259" s="82">
        <v>10</v>
      </c>
      <c r="Z259" s="89">
        <v>45283.127604166664</v>
      </c>
      <c r="AA259" s="89">
        <v>45283.127604166664</v>
      </c>
      <c r="AB259" s="82"/>
      <c r="AC259" s="82"/>
      <c r="AD259" s="85" t="s">
        <v>2423</v>
      </c>
      <c r="AE259" s="84" t="str">
        <f>REPLACE(INDEX(GroupVertices[Group],MATCH("~"&amp;Edges[[#This Row],[Vertex 1]],GroupVertices[Vertex],0)),1,1,"")</f>
        <v>1</v>
      </c>
      <c r="AF259" s="84" t="str">
        <f>REPLACE(INDEX(GroupVertices[Group],MATCH("~"&amp;Edges[[#This Row],[Vertex 2]],GroupVertices[Vertex],0)),1,1,"")</f>
        <v>1</v>
      </c>
    </row>
    <row r="260" spans="1:32" ht="15">
      <c r="A260" s="66" t="s">
        <v>448</v>
      </c>
      <c r="B260" s="66" t="s">
        <v>907</v>
      </c>
      <c r="C260" s="67"/>
      <c r="D260" s="68"/>
      <c r="E260" s="69"/>
      <c r="F260" s="70"/>
      <c r="G260" s="67"/>
      <c r="H260" s="71"/>
      <c r="I260" s="72"/>
      <c r="J260" s="72"/>
      <c r="K260" s="35"/>
      <c r="L260" s="80">
        <v>260</v>
      </c>
      <c r="M260" s="80"/>
      <c r="N260" s="74"/>
      <c r="O260" s="82" t="s">
        <v>909</v>
      </c>
      <c r="P260" s="82" t="s">
        <v>197</v>
      </c>
      <c r="Q260" s="85" t="s">
        <v>1166</v>
      </c>
      <c r="R260" s="82" t="s">
        <v>448</v>
      </c>
      <c r="S260" s="82" t="s">
        <v>1914</v>
      </c>
      <c r="T260" s="87" t="str">
        <f>HYPERLINK("http://www.youtube.com/channel/UCcziyenE-E7YI0Mn6_QSnJw")</f>
        <v>http://www.youtube.com/channel/UCcziyenE-E7YI0Mn6_QSnJw</v>
      </c>
      <c r="U260" s="82"/>
      <c r="V260" s="82" t="s">
        <v>2370</v>
      </c>
      <c r="W260" s="87" t="str">
        <f t="shared" si="10"/>
        <v>https://www.youtube.com/watch?v=yBF2fGUO5cQ</v>
      </c>
      <c r="X260" s="82" t="s">
        <v>2384</v>
      </c>
      <c r="Y260" s="82">
        <v>3</v>
      </c>
      <c r="Z260" s="89">
        <v>45283.19981481481</v>
      </c>
      <c r="AA260" s="89">
        <v>45283.19981481481</v>
      </c>
      <c r="AB260" s="82"/>
      <c r="AC260" s="82"/>
      <c r="AD260" s="85" t="s">
        <v>2423</v>
      </c>
      <c r="AE260" s="84" t="str">
        <f>REPLACE(INDEX(GroupVertices[Group],MATCH("~"&amp;Edges[[#This Row],[Vertex 1]],GroupVertices[Vertex],0)),1,1,"")</f>
        <v>1</v>
      </c>
      <c r="AF260" s="84" t="str">
        <f>REPLACE(INDEX(GroupVertices[Group],MATCH("~"&amp;Edges[[#This Row],[Vertex 2]],GroupVertices[Vertex],0)),1,1,"")</f>
        <v>1</v>
      </c>
    </row>
    <row r="261" spans="1:32" ht="15">
      <c r="A261" s="66" t="s">
        <v>449</v>
      </c>
      <c r="B261" s="66" t="s">
        <v>907</v>
      </c>
      <c r="C261" s="67"/>
      <c r="D261" s="68"/>
      <c r="E261" s="69"/>
      <c r="F261" s="70"/>
      <c r="G261" s="67"/>
      <c r="H261" s="71"/>
      <c r="I261" s="72"/>
      <c r="J261" s="72"/>
      <c r="K261" s="35"/>
      <c r="L261" s="80">
        <v>261</v>
      </c>
      <c r="M261" s="80"/>
      <c r="N261" s="74"/>
      <c r="O261" s="82" t="s">
        <v>909</v>
      </c>
      <c r="P261" s="82" t="s">
        <v>197</v>
      </c>
      <c r="Q261" s="85" t="s">
        <v>1167</v>
      </c>
      <c r="R261" s="82" t="s">
        <v>449</v>
      </c>
      <c r="S261" s="82" t="s">
        <v>1915</v>
      </c>
      <c r="T261" s="87" t="str">
        <f>HYPERLINK("http://www.youtube.com/channel/UCOrBUm6zH-0AX1QgC6lwAdg")</f>
        <v>http://www.youtube.com/channel/UCOrBUm6zH-0AX1QgC6lwAdg</v>
      </c>
      <c r="U261" s="82"/>
      <c r="V261" s="82" t="s">
        <v>2370</v>
      </c>
      <c r="W261" s="87" t="str">
        <f t="shared" si="10"/>
        <v>https://www.youtube.com/watch?v=yBF2fGUO5cQ</v>
      </c>
      <c r="X261" s="82" t="s">
        <v>2384</v>
      </c>
      <c r="Y261" s="82">
        <v>2</v>
      </c>
      <c r="Z261" s="89">
        <v>45283.22939814815</v>
      </c>
      <c r="AA261" s="89">
        <v>45283.22939814815</v>
      </c>
      <c r="AB261" s="82"/>
      <c r="AC261" s="82"/>
      <c r="AD261" s="85" t="s">
        <v>2423</v>
      </c>
      <c r="AE261" s="84" t="str">
        <f>REPLACE(INDEX(GroupVertices[Group],MATCH("~"&amp;Edges[[#This Row],[Vertex 1]],GroupVertices[Vertex],0)),1,1,"")</f>
        <v>1</v>
      </c>
      <c r="AF261" s="84" t="str">
        <f>REPLACE(INDEX(GroupVertices[Group],MATCH("~"&amp;Edges[[#This Row],[Vertex 2]],GroupVertices[Vertex],0)),1,1,"")</f>
        <v>1</v>
      </c>
    </row>
    <row r="262" spans="1:32" ht="15">
      <c r="A262" s="66" t="s">
        <v>450</v>
      </c>
      <c r="B262" s="66" t="s">
        <v>907</v>
      </c>
      <c r="C262" s="67"/>
      <c r="D262" s="68"/>
      <c r="E262" s="69"/>
      <c r="F262" s="70"/>
      <c r="G262" s="67"/>
      <c r="H262" s="71"/>
      <c r="I262" s="72"/>
      <c r="J262" s="72"/>
      <c r="K262" s="35"/>
      <c r="L262" s="80">
        <v>262</v>
      </c>
      <c r="M262" s="80"/>
      <c r="N262" s="74"/>
      <c r="O262" s="82" t="s">
        <v>909</v>
      </c>
      <c r="P262" s="82" t="s">
        <v>197</v>
      </c>
      <c r="Q262" s="85" t="s">
        <v>1168</v>
      </c>
      <c r="R262" s="82" t="s">
        <v>450</v>
      </c>
      <c r="S262" s="82" t="s">
        <v>1916</v>
      </c>
      <c r="T262" s="87" t="str">
        <f>HYPERLINK("http://www.youtube.com/channel/UC_oL0ca7jZDGrFdUbndisyA")</f>
        <v>http://www.youtube.com/channel/UC_oL0ca7jZDGrFdUbndisyA</v>
      </c>
      <c r="U262" s="82"/>
      <c r="V262" s="82" t="s">
        <v>2370</v>
      </c>
      <c r="W262" s="87" t="str">
        <f t="shared" si="10"/>
        <v>https://www.youtube.com/watch?v=yBF2fGUO5cQ</v>
      </c>
      <c r="X262" s="82" t="s">
        <v>2384</v>
      </c>
      <c r="Y262" s="82">
        <v>4</v>
      </c>
      <c r="Z262" s="89">
        <v>45283.272256944445</v>
      </c>
      <c r="AA262" s="89">
        <v>45283.272731481484</v>
      </c>
      <c r="AB262" s="82"/>
      <c r="AC262" s="82"/>
      <c r="AD262" s="85" t="s">
        <v>2423</v>
      </c>
      <c r="AE262" s="84" t="str">
        <f>REPLACE(INDEX(GroupVertices[Group],MATCH("~"&amp;Edges[[#This Row],[Vertex 1]],GroupVertices[Vertex],0)),1,1,"")</f>
        <v>1</v>
      </c>
      <c r="AF262" s="84" t="str">
        <f>REPLACE(INDEX(GroupVertices[Group],MATCH("~"&amp;Edges[[#This Row],[Vertex 2]],GroupVertices[Vertex],0)),1,1,"")</f>
        <v>1</v>
      </c>
    </row>
    <row r="263" spans="1:32" ht="15">
      <c r="A263" s="66" t="s">
        <v>451</v>
      </c>
      <c r="B263" s="66" t="s">
        <v>907</v>
      </c>
      <c r="C263" s="67"/>
      <c r="D263" s="68"/>
      <c r="E263" s="69"/>
      <c r="F263" s="70"/>
      <c r="G263" s="67"/>
      <c r="H263" s="71"/>
      <c r="I263" s="72"/>
      <c r="J263" s="72"/>
      <c r="K263" s="35"/>
      <c r="L263" s="80">
        <v>263</v>
      </c>
      <c r="M263" s="80"/>
      <c r="N263" s="74"/>
      <c r="O263" s="82" t="s">
        <v>909</v>
      </c>
      <c r="P263" s="82" t="s">
        <v>197</v>
      </c>
      <c r="Q263" s="85" t="s">
        <v>1169</v>
      </c>
      <c r="R263" s="82" t="s">
        <v>451</v>
      </c>
      <c r="S263" s="82" t="s">
        <v>1917</v>
      </c>
      <c r="T263" s="87" t="str">
        <f>HYPERLINK("http://www.youtube.com/channel/UCcjOxopu8ykErJYnUrFmjUA")</f>
        <v>http://www.youtube.com/channel/UCcjOxopu8ykErJYnUrFmjUA</v>
      </c>
      <c r="U263" s="82"/>
      <c r="V263" s="82" t="s">
        <v>2370</v>
      </c>
      <c r="W263" s="87" t="str">
        <f t="shared" si="10"/>
        <v>https://www.youtube.com/watch?v=yBF2fGUO5cQ</v>
      </c>
      <c r="X263" s="82" t="s">
        <v>2384</v>
      </c>
      <c r="Y263" s="82">
        <v>2</v>
      </c>
      <c r="Z263" s="89">
        <v>45283.47555555555</v>
      </c>
      <c r="AA263" s="89">
        <v>45283.47555555555</v>
      </c>
      <c r="AB263" s="82"/>
      <c r="AC263" s="82"/>
      <c r="AD263" s="85" t="s">
        <v>2423</v>
      </c>
      <c r="AE263" s="84" t="str">
        <f>REPLACE(INDEX(GroupVertices[Group],MATCH("~"&amp;Edges[[#This Row],[Vertex 1]],GroupVertices[Vertex],0)),1,1,"")</f>
        <v>1</v>
      </c>
      <c r="AF263" s="84" t="str">
        <f>REPLACE(INDEX(GroupVertices[Group],MATCH("~"&amp;Edges[[#This Row],[Vertex 2]],GroupVertices[Vertex],0)),1,1,"")</f>
        <v>1</v>
      </c>
    </row>
    <row r="264" spans="1:32" ht="15">
      <c r="A264" s="66" t="s">
        <v>452</v>
      </c>
      <c r="B264" s="66" t="s">
        <v>907</v>
      </c>
      <c r="C264" s="67"/>
      <c r="D264" s="68"/>
      <c r="E264" s="69"/>
      <c r="F264" s="70"/>
      <c r="G264" s="67"/>
      <c r="H264" s="71"/>
      <c r="I264" s="72"/>
      <c r="J264" s="72"/>
      <c r="K264" s="35"/>
      <c r="L264" s="80">
        <v>264</v>
      </c>
      <c r="M264" s="80"/>
      <c r="N264" s="74"/>
      <c r="O264" s="82" t="s">
        <v>909</v>
      </c>
      <c r="P264" s="82" t="s">
        <v>197</v>
      </c>
      <c r="Q264" s="85" t="s">
        <v>1170</v>
      </c>
      <c r="R264" s="82" t="s">
        <v>452</v>
      </c>
      <c r="S264" s="82" t="s">
        <v>1918</v>
      </c>
      <c r="T264" s="87" t="str">
        <f>HYPERLINK("http://www.youtube.com/channel/UClmdKz5v-aiZ4nqvnJf1V6A")</f>
        <v>http://www.youtube.com/channel/UClmdKz5v-aiZ4nqvnJf1V6A</v>
      </c>
      <c r="U264" s="82"/>
      <c r="V264" s="82" t="s">
        <v>2370</v>
      </c>
      <c r="W264" s="87" t="str">
        <f t="shared" si="10"/>
        <v>https://www.youtube.com/watch?v=yBF2fGUO5cQ</v>
      </c>
      <c r="X264" s="82" t="s">
        <v>2384</v>
      </c>
      <c r="Y264" s="82">
        <v>5</v>
      </c>
      <c r="Z264" s="89">
        <v>45283.51091435185</v>
      </c>
      <c r="AA264" s="89">
        <v>45283.51091435185</v>
      </c>
      <c r="AB264" s="82"/>
      <c r="AC264" s="82"/>
      <c r="AD264" s="85" t="s">
        <v>2423</v>
      </c>
      <c r="AE264" s="84" t="str">
        <f>REPLACE(INDEX(GroupVertices[Group],MATCH("~"&amp;Edges[[#This Row],[Vertex 1]],GroupVertices[Vertex],0)),1,1,"")</f>
        <v>1</v>
      </c>
      <c r="AF264" s="84" t="str">
        <f>REPLACE(INDEX(GroupVertices[Group],MATCH("~"&amp;Edges[[#This Row],[Vertex 2]],GroupVertices[Vertex],0)),1,1,"")</f>
        <v>1</v>
      </c>
    </row>
    <row r="265" spans="1:32" ht="15">
      <c r="A265" s="66" t="s">
        <v>453</v>
      </c>
      <c r="B265" s="66" t="s">
        <v>907</v>
      </c>
      <c r="C265" s="67"/>
      <c r="D265" s="68"/>
      <c r="E265" s="69"/>
      <c r="F265" s="70"/>
      <c r="G265" s="67"/>
      <c r="H265" s="71"/>
      <c r="I265" s="72"/>
      <c r="J265" s="72"/>
      <c r="K265" s="35"/>
      <c r="L265" s="80">
        <v>265</v>
      </c>
      <c r="M265" s="80"/>
      <c r="N265" s="74"/>
      <c r="O265" s="82" t="s">
        <v>909</v>
      </c>
      <c r="P265" s="82" t="s">
        <v>197</v>
      </c>
      <c r="Q265" s="85" t="s">
        <v>1171</v>
      </c>
      <c r="R265" s="82" t="s">
        <v>453</v>
      </c>
      <c r="S265" s="82" t="s">
        <v>1919</v>
      </c>
      <c r="T265" s="87" t="str">
        <f>HYPERLINK("http://www.youtube.com/channel/UCLUBNN-zJRU52Uec6_hXp-w")</f>
        <v>http://www.youtube.com/channel/UCLUBNN-zJRU52Uec6_hXp-w</v>
      </c>
      <c r="U265" s="82"/>
      <c r="V265" s="82" t="s">
        <v>2370</v>
      </c>
      <c r="W265" s="87" t="str">
        <f t="shared" si="10"/>
        <v>https://www.youtube.com/watch?v=yBF2fGUO5cQ</v>
      </c>
      <c r="X265" s="82" t="s">
        <v>2384</v>
      </c>
      <c r="Y265" s="82">
        <v>4</v>
      </c>
      <c r="Z265" s="89">
        <v>45283.81396990741</v>
      </c>
      <c r="AA265" s="89">
        <v>45283.81396990741</v>
      </c>
      <c r="AB265" s="82"/>
      <c r="AC265" s="82"/>
      <c r="AD265" s="85" t="s">
        <v>2423</v>
      </c>
      <c r="AE265" s="84" t="str">
        <f>REPLACE(INDEX(GroupVertices[Group],MATCH("~"&amp;Edges[[#This Row],[Vertex 1]],GroupVertices[Vertex],0)),1,1,"")</f>
        <v>1</v>
      </c>
      <c r="AF265" s="84" t="str">
        <f>REPLACE(INDEX(GroupVertices[Group],MATCH("~"&amp;Edges[[#This Row],[Vertex 2]],GroupVertices[Vertex],0)),1,1,"")</f>
        <v>1</v>
      </c>
    </row>
    <row r="266" spans="1:32" ht="15">
      <c r="A266" s="66" t="s">
        <v>454</v>
      </c>
      <c r="B266" s="66" t="s">
        <v>907</v>
      </c>
      <c r="C266" s="67"/>
      <c r="D266" s="68"/>
      <c r="E266" s="69"/>
      <c r="F266" s="70"/>
      <c r="G266" s="67"/>
      <c r="H266" s="71"/>
      <c r="I266" s="72"/>
      <c r="J266" s="72"/>
      <c r="K266" s="35"/>
      <c r="L266" s="80">
        <v>266</v>
      </c>
      <c r="M266" s="80"/>
      <c r="N266" s="74"/>
      <c r="O266" s="82" t="s">
        <v>909</v>
      </c>
      <c r="P266" s="82" t="s">
        <v>197</v>
      </c>
      <c r="Q266" s="85" t="s">
        <v>1172</v>
      </c>
      <c r="R266" s="82" t="s">
        <v>454</v>
      </c>
      <c r="S266" s="82" t="s">
        <v>1920</v>
      </c>
      <c r="T266" s="87" t="str">
        <f>HYPERLINK("http://www.youtube.com/channel/UCMNRtO8vaoNgqJu6ETMoUrQ")</f>
        <v>http://www.youtube.com/channel/UCMNRtO8vaoNgqJu6ETMoUrQ</v>
      </c>
      <c r="U266" s="82"/>
      <c r="V266" s="82" t="s">
        <v>2370</v>
      </c>
      <c r="W266" s="87" t="str">
        <f t="shared" si="10"/>
        <v>https://www.youtube.com/watch?v=yBF2fGUO5cQ</v>
      </c>
      <c r="X266" s="82" t="s">
        <v>2384</v>
      </c>
      <c r="Y266" s="82">
        <v>7</v>
      </c>
      <c r="Z266" s="89">
        <v>45283.93378472222</v>
      </c>
      <c r="AA266" s="89">
        <v>45283.93392361111</v>
      </c>
      <c r="AB266" s="82"/>
      <c r="AC266" s="82"/>
      <c r="AD266" s="85" t="s">
        <v>2423</v>
      </c>
      <c r="AE266" s="84" t="str">
        <f>REPLACE(INDEX(GroupVertices[Group],MATCH("~"&amp;Edges[[#This Row],[Vertex 1]],GroupVertices[Vertex],0)),1,1,"")</f>
        <v>1</v>
      </c>
      <c r="AF266" s="84" t="str">
        <f>REPLACE(INDEX(GroupVertices[Group],MATCH("~"&amp;Edges[[#This Row],[Vertex 2]],GroupVertices[Vertex],0)),1,1,"")</f>
        <v>1</v>
      </c>
    </row>
    <row r="267" spans="1:32" ht="15">
      <c r="A267" s="66" t="s">
        <v>455</v>
      </c>
      <c r="B267" s="66" t="s">
        <v>907</v>
      </c>
      <c r="C267" s="67"/>
      <c r="D267" s="68"/>
      <c r="E267" s="69"/>
      <c r="F267" s="70"/>
      <c r="G267" s="67"/>
      <c r="H267" s="71"/>
      <c r="I267" s="72"/>
      <c r="J267" s="72"/>
      <c r="K267" s="35"/>
      <c r="L267" s="80">
        <v>267</v>
      </c>
      <c r="M267" s="80"/>
      <c r="N267" s="74"/>
      <c r="O267" s="82" t="s">
        <v>909</v>
      </c>
      <c r="P267" s="82" t="s">
        <v>197</v>
      </c>
      <c r="Q267" s="85" t="s">
        <v>1173</v>
      </c>
      <c r="R267" s="82" t="s">
        <v>455</v>
      </c>
      <c r="S267" s="82" t="s">
        <v>1921</v>
      </c>
      <c r="T267" s="87" t="str">
        <f>HYPERLINK("http://www.youtube.com/channel/UCLqxp6vnqiXFNFEvXFdFGVg")</f>
        <v>http://www.youtube.com/channel/UCLqxp6vnqiXFNFEvXFdFGVg</v>
      </c>
      <c r="U267" s="82"/>
      <c r="V267" s="82" t="s">
        <v>2370</v>
      </c>
      <c r="W267" s="87" t="str">
        <f t="shared" si="10"/>
        <v>https://www.youtube.com/watch?v=yBF2fGUO5cQ</v>
      </c>
      <c r="X267" s="82" t="s">
        <v>2384</v>
      </c>
      <c r="Y267" s="82">
        <v>1</v>
      </c>
      <c r="Z267" s="89">
        <v>45283.96428240741</v>
      </c>
      <c r="AA267" s="89">
        <v>45283.96428240741</v>
      </c>
      <c r="AB267" s="82" t="s">
        <v>2396</v>
      </c>
      <c r="AC267" s="82" t="s">
        <v>2413</v>
      </c>
      <c r="AD267" s="85" t="s">
        <v>2423</v>
      </c>
      <c r="AE267" s="84" t="str">
        <f>REPLACE(INDEX(GroupVertices[Group],MATCH("~"&amp;Edges[[#This Row],[Vertex 1]],GroupVertices[Vertex],0)),1,1,"")</f>
        <v>1</v>
      </c>
      <c r="AF267" s="84" t="str">
        <f>REPLACE(INDEX(GroupVertices[Group],MATCH("~"&amp;Edges[[#This Row],[Vertex 2]],GroupVertices[Vertex],0)),1,1,"")</f>
        <v>1</v>
      </c>
    </row>
    <row r="268" spans="1:32" ht="15">
      <c r="A268" s="66" t="s">
        <v>456</v>
      </c>
      <c r="B268" s="66" t="s">
        <v>907</v>
      </c>
      <c r="C268" s="67"/>
      <c r="D268" s="68"/>
      <c r="E268" s="69"/>
      <c r="F268" s="70"/>
      <c r="G268" s="67"/>
      <c r="H268" s="71"/>
      <c r="I268" s="72"/>
      <c r="J268" s="72"/>
      <c r="K268" s="35"/>
      <c r="L268" s="80">
        <v>268</v>
      </c>
      <c r="M268" s="80"/>
      <c r="N268" s="74"/>
      <c r="O268" s="82" t="s">
        <v>909</v>
      </c>
      <c r="P268" s="82" t="s">
        <v>197</v>
      </c>
      <c r="Q268" s="85" t="s">
        <v>1174</v>
      </c>
      <c r="R268" s="82" t="s">
        <v>456</v>
      </c>
      <c r="S268" s="82" t="s">
        <v>1922</v>
      </c>
      <c r="T268" s="87" t="str">
        <f>HYPERLINK("http://www.youtube.com/channel/UCFe6_9G-HOwKoyHtvrdC4JQ")</f>
        <v>http://www.youtube.com/channel/UCFe6_9G-HOwKoyHtvrdC4JQ</v>
      </c>
      <c r="U268" s="82"/>
      <c r="V268" s="82" t="s">
        <v>2370</v>
      </c>
      <c r="W268" s="87" t="str">
        <f t="shared" si="10"/>
        <v>https://www.youtube.com/watch?v=yBF2fGUO5cQ</v>
      </c>
      <c r="X268" s="82" t="s">
        <v>2384</v>
      </c>
      <c r="Y268" s="82">
        <v>11</v>
      </c>
      <c r="Z268" s="89">
        <v>45284.18188657407</v>
      </c>
      <c r="AA268" s="89">
        <v>45284.18188657407</v>
      </c>
      <c r="AB268" s="82"/>
      <c r="AC268" s="82"/>
      <c r="AD268" s="85" t="s">
        <v>2423</v>
      </c>
      <c r="AE268" s="84" t="str">
        <f>REPLACE(INDEX(GroupVertices[Group],MATCH("~"&amp;Edges[[#This Row],[Vertex 1]],GroupVertices[Vertex],0)),1,1,"")</f>
        <v>1</v>
      </c>
      <c r="AF268" s="84" t="str">
        <f>REPLACE(INDEX(GroupVertices[Group],MATCH("~"&amp;Edges[[#This Row],[Vertex 2]],GroupVertices[Vertex],0)),1,1,"")</f>
        <v>1</v>
      </c>
    </row>
    <row r="269" spans="1:32" ht="15">
      <c r="A269" s="66" t="s">
        <v>457</v>
      </c>
      <c r="B269" s="66" t="s">
        <v>907</v>
      </c>
      <c r="C269" s="67"/>
      <c r="D269" s="68"/>
      <c r="E269" s="69"/>
      <c r="F269" s="70"/>
      <c r="G269" s="67"/>
      <c r="H269" s="71"/>
      <c r="I269" s="72"/>
      <c r="J269" s="72"/>
      <c r="K269" s="35"/>
      <c r="L269" s="80">
        <v>269</v>
      </c>
      <c r="M269" s="80"/>
      <c r="N269" s="74"/>
      <c r="O269" s="82" t="s">
        <v>909</v>
      </c>
      <c r="P269" s="82" t="s">
        <v>197</v>
      </c>
      <c r="Q269" s="85" t="s">
        <v>1175</v>
      </c>
      <c r="R269" s="82" t="s">
        <v>457</v>
      </c>
      <c r="S269" s="82" t="s">
        <v>1923</v>
      </c>
      <c r="T269" s="87" t="str">
        <f>HYPERLINK("http://www.youtube.com/channel/UCu055IQpqIPWAVkzROrgSxQ")</f>
        <v>http://www.youtube.com/channel/UCu055IQpqIPWAVkzROrgSxQ</v>
      </c>
      <c r="U269" s="82"/>
      <c r="V269" s="82" t="s">
        <v>2370</v>
      </c>
      <c r="W269" s="87" t="str">
        <f t="shared" si="10"/>
        <v>https://www.youtube.com/watch?v=yBF2fGUO5cQ</v>
      </c>
      <c r="X269" s="82" t="s">
        <v>2384</v>
      </c>
      <c r="Y269" s="82">
        <v>2</v>
      </c>
      <c r="Z269" s="89">
        <v>45284.846504629626</v>
      </c>
      <c r="AA269" s="89">
        <v>45284.846504629626</v>
      </c>
      <c r="AB269" s="82"/>
      <c r="AC269" s="82"/>
      <c r="AD269" s="85" t="s">
        <v>2423</v>
      </c>
      <c r="AE269" s="84" t="str">
        <f>REPLACE(INDEX(GroupVertices[Group],MATCH("~"&amp;Edges[[#This Row],[Vertex 1]],GroupVertices[Vertex],0)),1,1,"")</f>
        <v>1</v>
      </c>
      <c r="AF269" s="84" t="str">
        <f>REPLACE(INDEX(GroupVertices[Group],MATCH("~"&amp;Edges[[#This Row],[Vertex 2]],GroupVertices[Vertex],0)),1,1,"")</f>
        <v>1</v>
      </c>
    </row>
    <row r="270" spans="1:32" ht="15">
      <c r="A270" s="66" t="s">
        <v>458</v>
      </c>
      <c r="B270" s="66" t="s">
        <v>901</v>
      </c>
      <c r="C270" s="67"/>
      <c r="D270" s="68"/>
      <c r="E270" s="69"/>
      <c r="F270" s="70"/>
      <c r="G270" s="67"/>
      <c r="H270" s="71"/>
      <c r="I270" s="72"/>
      <c r="J270" s="72"/>
      <c r="K270" s="35"/>
      <c r="L270" s="80">
        <v>270</v>
      </c>
      <c r="M270" s="80"/>
      <c r="N270" s="74"/>
      <c r="O270" s="82" t="s">
        <v>909</v>
      </c>
      <c r="P270" s="82" t="s">
        <v>197</v>
      </c>
      <c r="Q270" s="85" t="s">
        <v>1176</v>
      </c>
      <c r="R270" s="82" t="s">
        <v>458</v>
      </c>
      <c r="S270" s="82" t="s">
        <v>1924</v>
      </c>
      <c r="T270" s="87" t="str">
        <f>HYPERLINK("http://www.youtube.com/channel/UCXjCbnz9v9immQ0REbdqMgw")</f>
        <v>http://www.youtube.com/channel/UCXjCbnz9v9immQ0REbdqMgw</v>
      </c>
      <c r="U270" s="82"/>
      <c r="V270" s="82" t="s">
        <v>2368</v>
      </c>
      <c r="W270" s="87" t="str">
        <f>HYPERLINK("https://www.youtube.com/watch?v=gLvkWpnzba8")</f>
        <v>https://www.youtube.com/watch?v=gLvkWpnzba8</v>
      </c>
      <c r="X270" s="82" t="s">
        <v>2384</v>
      </c>
      <c r="Y270" s="82">
        <v>1</v>
      </c>
      <c r="Z270" s="89">
        <v>45255.021099537036</v>
      </c>
      <c r="AA270" s="89">
        <v>45255.021099537036</v>
      </c>
      <c r="AB270" s="82"/>
      <c r="AC270" s="82"/>
      <c r="AD270" s="85" t="s">
        <v>2423</v>
      </c>
      <c r="AE270" s="84" t="str">
        <f>REPLACE(INDEX(GroupVertices[Group],MATCH("~"&amp;Edges[[#This Row],[Vertex 1]],GroupVertices[Vertex],0)),1,1,"")</f>
        <v>6</v>
      </c>
      <c r="AF270" s="84" t="str">
        <f>REPLACE(INDEX(GroupVertices[Group],MATCH("~"&amp;Edges[[#This Row],[Vertex 2]],GroupVertices[Vertex],0)),1,1,"")</f>
        <v>6</v>
      </c>
    </row>
    <row r="271" spans="1:32" ht="15">
      <c r="A271" s="66" t="s">
        <v>458</v>
      </c>
      <c r="B271" s="66" t="s">
        <v>907</v>
      </c>
      <c r="C271" s="67"/>
      <c r="D271" s="68"/>
      <c r="E271" s="69"/>
      <c r="F271" s="70"/>
      <c r="G271" s="67"/>
      <c r="H271" s="71"/>
      <c r="I271" s="72"/>
      <c r="J271" s="72"/>
      <c r="K271" s="35"/>
      <c r="L271" s="80">
        <v>271</v>
      </c>
      <c r="M271" s="80"/>
      <c r="N271" s="74"/>
      <c r="O271" s="82" t="s">
        <v>909</v>
      </c>
      <c r="P271" s="82" t="s">
        <v>197</v>
      </c>
      <c r="Q271" s="85" t="s">
        <v>1177</v>
      </c>
      <c r="R271" s="82" t="s">
        <v>458</v>
      </c>
      <c r="S271" s="82" t="s">
        <v>1924</v>
      </c>
      <c r="T271" s="87" t="str">
        <f>HYPERLINK("http://www.youtube.com/channel/UCXjCbnz9v9immQ0REbdqMgw")</f>
        <v>http://www.youtube.com/channel/UCXjCbnz9v9immQ0REbdqMgw</v>
      </c>
      <c r="U271" s="82"/>
      <c r="V271" s="82" t="s">
        <v>2370</v>
      </c>
      <c r="W271" s="87" t="str">
        <f aca="true" t="shared" si="11" ref="W271:W279">HYPERLINK("https://www.youtube.com/watch?v=yBF2fGUO5cQ")</f>
        <v>https://www.youtube.com/watch?v=yBF2fGUO5cQ</v>
      </c>
      <c r="X271" s="82" t="s">
        <v>2384</v>
      </c>
      <c r="Y271" s="82">
        <v>0</v>
      </c>
      <c r="Z271" s="89">
        <v>45285.213900462964</v>
      </c>
      <c r="AA271" s="89">
        <v>45285.213900462964</v>
      </c>
      <c r="AB271" s="82"/>
      <c r="AC271" s="82"/>
      <c r="AD271" s="85" t="s">
        <v>2423</v>
      </c>
      <c r="AE271" s="84" t="str">
        <f>REPLACE(INDEX(GroupVertices[Group],MATCH("~"&amp;Edges[[#This Row],[Vertex 1]],GroupVertices[Vertex],0)),1,1,"")</f>
        <v>6</v>
      </c>
      <c r="AF271" s="84" t="str">
        <f>REPLACE(INDEX(GroupVertices[Group],MATCH("~"&amp;Edges[[#This Row],[Vertex 2]],GroupVertices[Vertex],0)),1,1,"")</f>
        <v>1</v>
      </c>
    </row>
    <row r="272" spans="1:32" ht="15">
      <c r="A272" s="66" t="s">
        <v>459</v>
      </c>
      <c r="B272" s="66" t="s">
        <v>907</v>
      </c>
      <c r="C272" s="67"/>
      <c r="D272" s="68"/>
      <c r="E272" s="69"/>
      <c r="F272" s="70"/>
      <c r="G272" s="67"/>
      <c r="H272" s="71"/>
      <c r="I272" s="72"/>
      <c r="J272" s="72"/>
      <c r="K272" s="35"/>
      <c r="L272" s="80">
        <v>272</v>
      </c>
      <c r="M272" s="80"/>
      <c r="N272" s="74"/>
      <c r="O272" s="82" t="s">
        <v>909</v>
      </c>
      <c r="P272" s="82" t="s">
        <v>197</v>
      </c>
      <c r="Q272" s="85" t="s">
        <v>1178</v>
      </c>
      <c r="R272" s="82" t="s">
        <v>459</v>
      </c>
      <c r="S272" s="82" t="s">
        <v>1925</v>
      </c>
      <c r="T272" s="87" t="str">
        <f>HYPERLINK("http://www.youtube.com/channel/UC3rRjSPT2ADF8Bx3SFTUn_g")</f>
        <v>http://www.youtube.com/channel/UC3rRjSPT2ADF8Bx3SFTUn_g</v>
      </c>
      <c r="U272" s="82"/>
      <c r="V272" s="82" t="s">
        <v>2370</v>
      </c>
      <c r="W272" s="87" t="str">
        <f t="shared" si="11"/>
        <v>https://www.youtube.com/watch?v=yBF2fGUO5cQ</v>
      </c>
      <c r="X272" s="82" t="s">
        <v>2384</v>
      </c>
      <c r="Y272" s="82">
        <v>0</v>
      </c>
      <c r="Z272" s="89">
        <v>45285.32949074074</v>
      </c>
      <c r="AA272" s="89">
        <v>45285.32949074074</v>
      </c>
      <c r="AB272" s="82"/>
      <c r="AC272" s="82"/>
      <c r="AD272" s="85" t="s">
        <v>2423</v>
      </c>
      <c r="AE272" s="84" t="str">
        <f>REPLACE(INDEX(GroupVertices[Group],MATCH("~"&amp;Edges[[#This Row],[Vertex 1]],GroupVertices[Vertex],0)),1,1,"")</f>
        <v>1</v>
      </c>
      <c r="AF272" s="84" t="str">
        <f>REPLACE(INDEX(GroupVertices[Group],MATCH("~"&amp;Edges[[#This Row],[Vertex 2]],GroupVertices[Vertex],0)),1,1,"")</f>
        <v>1</v>
      </c>
    </row>
    <row r="273" spans="1:32" ht="15">
      <c r="A273" s="66" t="s">
        <v>460</v>
      </c>
      <c r="B273" s="66" t="s">
        <v>907</v>
      </c>
      <c r="C273" s="67"/>
      <c r="D273" s="68"/>
      <c r="E273" s="69"/>
      <c r="F273" s="70"/>
      <c r="G273" s="67"/>
      <c r="H273" s="71"/>
      <c r="I273" s="72"/>
      <c r="J273" s="72"/>
      <c r="K273" s="35"/>
      <c r="L273" s="80">
        <v>273</v>
      </c>
      <c r="M273" s="80"/>
      <c r="N273" s="74"/>
      <c r="O273" s="82" t="s">
        <v>909</v>
      </c>
      <c r="P273" s="82" t="s">
        <v>197</v>
      </c>
      <c r="Q273" s="85" t="s">
        <v>1179</v>
      </c>
      <c r="R273" s="82" t="s">
        <v>460</v>
      </c>
      <c r="S273" s="82" t="s">
        <v>1926</v>
      </c>
      <c r="T273" s="87" t="str">
        <f>HYPERLINK("http://www.youtube.com/channel/UCrU-NwoCg6tVtSiPy3Gy6qw")</f>
        <v>http://www.youtube.com/channel/UCrU-NwoCg6tVtSiPy3Gy6qw</v>
      </c>
      <c r="U273" s="82"/>
      <c r="V273" s="82" t="s">
        <v>2370</v>
      </c>
      <c r="W273" s="87" t="str">
        <f t="shared" si="11"/>
        <v>https://www.youtube.com/watch?v=yBF2fGUO5cQ</v>
      </c>
      <c r="X273" s="82" t="s">
        <v>2384</v>
      </c>
      <c r="Y273" s="82">
        <v>4</v>
      </c>
      <c r="Z273" s="89">
        <v>45285.68300925926</v>
      </c>
      <c r="AA273" s="89">
        <v>45285.68300925926</v>
      </c>
      <c r="AB273" s="82"/>
      <c r="AC273" s="82"/>
      <c r="AD273" s="85" t="s">
        <v>2423</v>
      </c>
      <c r="AE273" s="84" t="str">
        <f>REPLACE(INDEX(GroupVertices[Group],MATCH("~"&amp;Edges[[#This Row],[Vertex 1]],GroupVertices[Vertex],0)),1,1,"")</f>
        <v>1</v>
      </c>
      <c r="AF273" s="84" t="str">
        <f>REPLACE(INDEX(GroupVertices[Group],MATCH("~"&amp;Edges[[#This Row],[Vertex 2]],GroupVertices[Vertex],0)),1,1,"")</f>
        <v>1</v>
      </c>
    </row>
    <row r="274" spans="1:32" ht="15">
      <c r="A274" s="66" t="s">
        <v>461</v>
      </c>
      <c r="B274" s="66" t="s">
        <v>907</v>
      </c>
      <c r="C274" s="67"/>
      <c r="D274" s="68"/>
      <c r="E274" s="69"/>
      <c r="F274" s="70"/>
      <c r="G274" s="67"/>
      <c r="H274" s="71"/>
      <c r="I274" s="72"/>
      <c r="J274" s="72"/>
      <c r="K274" s="35"/>
      <c r="L274" s="80">
        <v>274</v>
      </c>
      <c r="M274" s="80"/>
      <c r="N274" s="74"/>
      <c r="O274" s="82" t="s">
        <v>909</v>
      </c>
      <c r="P274" s="82" t="s">
        <v>197</v>
      </c>
      <c r="Q274" s="85" t="s">
        <v>1180</v>
      </c>
      <c r="R274" s="82" t="s">
        <v>461</v>
      </c>
      <c r="S274" s="82" t="s">
        <v>1927</v>
      </c>
      <c r="T274" s="87" t="str">
        <f>HYPERLINK("http://www.youtube.com/channel/UCpAT3e9GjLNAhpuuwzkJiFw")</f>
        <v>http://www.youtube.com/channel/UCpAT3e9GjLNAhpuuwzkJiFw</v>
      </c>
      <c r="U274" s="82"/>
      <c r="V274" s="82" t="s">
        <v>2370</v>
      </c>
      <c r="W274" s="87" t="str">
        <f t="shared" si="11"/>
        <v>https://www.youtube.com/watch?v=yBF2fGUO5cQ</v>
      </c>
      <c r="X274" s="82" t="s">
        <v>2384</v>
      </c>
      <c r="Y274" s="82">
        <v>3</v>
      </c>
      <c r="Z274" s="89">
        <v>45285.707291666666</v>
      </c>
      <c r="AA274" s="89">
        <v>45285.707291666666</v>
      </c>
      <c r="AB274" s="82"/>
      <c r="AC274" s="82"/>
      <c r="AD274" s="85" t="s">
        <v>2423</v>
      </c>
      <c r="AE274" s="84" t="str">
        <f>REPLACE(INDEX(GroupVertices[Group],MATCH("~"&amp;Edges[[#This Row],[Vertex 1]],GroupVertices[Vertex],0)),1,1,"")</f>
        <v>1</v>
      </c>
      <c r="AF274" s="84" t="str">
        <f>REPLACE(INDEX(GroupVertices[Group],MATCH("~"&amp;Edges[[#This Row],[Vertex 2]],GroupVertices[Vertex],0)),1,1,"")</f>
        <v>1</v>
      </c>
    </row>
    <row r="275" spans="1:32" ht="15">
      <c r="A275" s="66" t="s">
        <v>461</v>
      </c>
      <c r="B275" s="66" t="s">
        <v>907</v>
      </c>
      <c r="C275" s="67"/>
      <c r="D275" s="68"/>
      <c r="E275" s="69"/>
      <c r="F275" s="70"/>
      <c r="G275" s="67"/>
      <c r="H275" s="71"/>
      <c r="I275" s="72"/>
      <c r="J275" s="72"/>
      <c r="K275" s="35"/>
      <c r="L275" s="80">
        <v>275</v>
      </c>
      <c r="M275" s="80"/>
      <c r="N275" s="74"/>
      <c r="O275" s="82" t="s">
        <v>909</v>
      </c>
      <c r="P275" s="82" t="s">
        <v>197</v>
      </c>
      <c r="Q275" s="85" t="s">
        <v>1181</v>
      </c>
      <c r="R275" s="82" t="s">
        <v>461</v>
      </c>
      <c r="S275" s="82" t="s">
        <v>1927</v>
      </c>
      <c r="T275" s="87" t="str">
        <f>HYPERLINK("http://www.youtube.com/channel/UCpAT3e9GjLNAhpuuwzkJiFw")</f>
        <v>http://www.youtube.com/channel/UCpAT3e9GjLNAhpuuwzkJiFw</v>
      </c>
      <c r="U275" s="82"/>
      <c r="V275" s="82" t="s">
        <v>2370</v>
      </c>
      <c r="W275" s="87" t="str">
        <f t="shared" si="11"/>
        <v>https://www.youtube.com/watch?v=yBF2fGUO5cQ</v>
      </c>
      <c r="X275" s="82" t="s">
        <v>2384</v>
      </c>
      <c r="Y275" s="82">
        <v>0</v>
      </c>
      <c r="Z275" s="89">
        <v>45285.70914351852</v>
      </c>
      <c r="AA275" s="89">
        <v>45285.70914351852</v>
      </c>
      <c r="AB275" s="82"/>
      <c r="AC275" s="82"/>
      <c r="AD275" s="85" t="s">
        <v>2423</v>
      </c>
      <c r="AE275" s="84" t="str">
        <f>REPLACE(INDEX(GroupVertices[Group],MATCH("~"&amp;Edges[[#This Row],[Vertex 1]],GroupVertices[Vertex],0)),1,1,"")</f>
        <v>1</v>
      </c>
      <c r="AF275" s="84" t="str">
        <f>REPLACE(INDEX(GroupVertices[Group],MATCH("~"&amp;Edges[[#This Row],[Vertex 2]],GroupVertices[Vertex],0)),1,1,"")</f>
        <v>1</v>
      </c>
    </row>
    <row r="276" spans="1:32" ht="15">
      <c r="A276" s="66" t="s">
        <v>462</v>
      </c>
      <c r="B276" s="66" t="s">
        <v>907</v>
      </c>
      <c r="C276" s="67"/>
      <c r="D276" s="68"/>
      <c r="E276" s="69"/>
      <c r="F276" s="70"/>
      <c r="G276" s="67"/>
      <c r="H276" s="71"/>
      <c r="I276" s="72"/>
      <c r="J276" s="72"/>
      <c r="K276" s="35"/>
      <c r="L276" s="80">
        <v>276</v>
      </c>
      <c r="M276" s="80"/>
      <c r="N276" s="74"/>
      <c r="O276" s="82" t="s">
        <v>909</v>
      </c>
      <c r="P276" s="82" t="s">
        <v>197</v>
      </c>
      <c r="Q276" s="85" t="s">
        <v>1182</v>
      </c>
      <c r="R276" s="82" t="s">
        <v>462</v>
      </c>
      <c r="S276" s="82" t="s">
        <v>1928</v>
      </c>
      <c r="T276" s="87" t="str">
        <f>HYPERLINK("http://www.youtube.com/channel/UCQfZ0OSP-6TpL8HYmRX7tdQ")</f>
        <v>http://www.youtube.com/channel/UCQfZ0OSP-6TpL8HYmRX7tdQ</v>
      </c>
      <c r="U276" s="82"/>
      <c r="V276" s="82" t="s">
        <v>2370</v>
      </c>
      <c r="W276" s="87" t="str">
        <f t="shared" si="11"/>
        <v>https://www.youtube.com/watch?v=yBF2fGUO5cQ</v>
      </c>
      <c r="X276" s="82" t="s">
        <v>2384</v>
      </c>
      <c r="Y276" s="82">
        <v>0</v>
      </c>
      <c r="Z276" s="89">
        <v>45286.31511574074</v>
      </c>
      <c r="AA276" s="89">
        <v>45286.31511574074</v>
      </c>
      <c r="AB276" s="82"/>
      <c r="AC276" s="82"/>
      <c r="AD276" s="85" t="s">
        <v>2423</v>
      </c>
      <c r="AE276" s="84" t="str">
        <f>REPLACE(INDEX(GroupVertices[Group],MATCH("~"&amp;Edges[[#This Row],[Vertex 1]],GroupVertices[Vertex],0)),1,1,"")</f>
        <v>1</v>
      </c>
      <c r="AF276" s="84" t="str">
        <f>REPLACE(INDEX(GroupVertices[Group],MATCH("~"&amp;Edges[[#This Row],[Vertex 2]],GroupVertices[Vertex],0)),1,1,"")</f>
        <v>1</v>
      </c>
    </row>
    <row r="277" spans="1:32" ht="15">
      <c r="A277" s="66" t="s">
        <v>463</v>
      </c>
      <c r="B277" s="66" t="s">
        <v>907</v>
      </c>
      <c r="C277" s="67"/>
      <c r="D277" s="68"/>
      <c r="E277" s="69"/>
      <c r="F277" s="70"/>
      <c r="G277" s="67"/>
      <c r="H277" s="71"/>
      <c r="I277" s="72"/>
      <c r="J277" s="72"/>
      <c r="K277" s="35"/>
      <c r="L277" s="80">
        <v>277</v>
      </c>
      <c r="M277" s="80"/>
      <c r="N277" s="74"/>
      <c r="O277" s="82" t="s">
        <v>909</v>
      </c>
      <c r="P277" s="82" t="s">
        <v>197</v>
      </c>
      <c r="Q277" s="85" t="s">
        <v>1183</v>
      </c>
      <c r="R277" s="82" t="s">
        <v>463</v>
      </c>
      <c r="S277" s="82" t="s">
        <v>1929</v>
      </c>
      <c r="T277" s="87" t="str">
        <f>HYPERLINK("http://www.youtube.com/channel/UCL_dbeUghdqme-ayvKz4o1A")</f>
        <v>http://www.youtube.com/channel/UCL_dbeUghdqme-ayvKz4o1A</v>
      </c>
      <c r="U277" s="82"/>
      <c r="V277" s="82" t="s">
        <v>2370</v>
      </c>
      <c r="W277" s="87" t="str">
        <f t="shared" si="11"/>
        <v>https://www.youtube.com/watch?v=yBF2fGUO5cQ</v>
      </c>
      <c r="X277" s="82" t="s">
        <v>2384</v>
      </c>
      <c r="Y277" s="82">
        <v>1</v>
      </c>
      <c r="Z277" s="89">
        <v>45286.8143287037</v>
      </c>
      <c r="AA277" s="89">
        <v>45286.8143287037</v>
      </c>
      <c r="AB277" s="82"/>
      <c r="AC277" s="82"/>
      <c r="AD277" s="85" t="s">
        <v>2423</v>
      </c>
      <c r="AE277" s="84" t="str">
        <f>REPLACE(INDEX(GroupVertices[Group],MATCH("~"&amp;Edges[[#This Row],[Vertex 1]],GroupVertices[Vertex],0)),1,1,"")</f>
        <v>1</v>
      </c>
      <c r="AF277" s="84" t="str">
        <f>REPLACE(INDEX(GroupVertices[Group],MATCH("~"&amp;Edges[[#This Row],[Vertex 2]],GroupVertices[Vertex],0)),1,1,"")</f>
        <v>1</v>
      </c>
    </row>
    <row r="278" spans="1:32" ht="15">
      <c r="A278" s="66" t="s">
        <v>463</v>
      </c>
      <c r="B278" s="66" t="s">
        <v>907</v>
      </c>
      <c r="C278" s="67"/>
      <c r="D278" s="68"/>
      <c r="E278" s="69"/>
      <c r="F278" s="70"/>
      <c r="G278" s="67"/>
      <c r="H278" s="71"/>
      <c r="I278" s="72"/>
      <c r="J278" s="72"/>
      <c r="K278" s="35"/>
      <c r="L278" s="80">
        <v>278</v>
      </c>
      <c r="M278" s="80"/>
      <c r="N278" s="74"/>
      <c r="O278" s="82" t="s">
        <v>909</v>
      </c>
      <c r="P278" s="82" t="s">
        <v>197</v>
      </c>
      <c r="Q278" s="85" t="s">
        <v>1184</v>
      </c>
      <c r="R278" s="82" t="s">
        <v>463</v>
      </c>
      <c r="S278" s="82" t="s">
        <v>1929</v>
      </c>
      <c r="T278" s="87" t="str">
        <f>HYPERLINK("http://www.youtube.com/channel/UCL_dbeUghdqme-ayvKz4o1A")</f>
        <v>http://www.youtube.com/channel/UCL_dbeUghdqme-ayvKz4o1A</v>
      </c>
      <c r="U278" s="82"/>
      <c r="V278" s="82" t="s">
        <v>2370</v>
      </c>
      <c r="W278" s="87" t="str">
        <f t="shared" si="11"/>
        <v>https://www.youtube.com/watch?v=yBF2fGUO5cQ</v>
      </c>
      <c r="X278" s="82" t="s">
        <v>2384</v>
      </c>
      <c r="Y278" s="82">
        <v>0</v>
      </c>
      <c r="Z278" s="89">
        <v>45286.81501157407</v>
      </c>
      <c r="AA278" s="89">
        <v>45286.81501157407</v>
      </c>
      <c r="AB278" s="82"/>
      <c r="AC278" s="82"/>
      <c r="AD278" s="85" t="s">
        <v>2423</v>
      </c>
      <c r="AE278" s="84" t="str">
        <f>REPLACE(INDEX(GroupVertices[Group],MATCH("~"&amp;Edges[[#This Row],[Vertex 1]],GroupVertices[Vertex],0)),1,1,"")</f>
        <v>1</v>
      </c>
      <c r="AF278" s="84" t="str">
        <f>REPLACE(INDEX(GroupVertices[Group],MATCH("~"&amp;Edges[[#This Row],[Vertex 2]],GroupVertices[Vertex],0)),1,1,"")</f>
        <v>1</v>
      </c>
    </row>
    <row r="279" spans="1:32" ht="15">
      <c r="A279" s="66" t="s">
        <v>464</v>
      </c>
      <c r="B279" s="66" t="s">
        <v>907</v>
      </c>
      <c r="C279" s="67"/>
      <c r="D279" s="68"/>
      <c r="E279" s="69"/>
      <c r="F279" s="70"/>
      <c r="G279" s="67"/>
      <c r="H279" s="71"/>
      <c r="I279" s="72"/>
      <c r="J279" s="72"/>
      <c r="K279" s="35"/>
      <c r="L279" s="80">
        <v>279</v>
      </c>
      <c r="M279" s="80"/>
      <c r="N279" s="74"/>
      <c r="O279" s="82" t="s">
        <v>909</v>
      </c>
      <c r="P279" s="82" t="s">
        <v>197</v>
      </c>
      <c r="Q279" s="85" t="s">
        <v>1185</v>
      </c>
      <c r="R279" s="82" t="s">
        <v>464</v>
      </c>
      <c r="S279" s="82" t="s">
        <v>1930</v>
      </c>
      <c r="T279" s="87" t="str">
        <f>HYPERLINK("http://www.youtube.com/channel/UC5UwyHs6XNxGyhAJxIoS3sQ")</f>
        <v>http://www.youtube.com/channel/UC5UwyHs6XNxGyhAJxIoS3sQ</v>
      </c>
      <c r="U279" s="82"/>
      <c r="V279" s="82" t="s">
        <v>2370</v>
      </c>
      <c r="W279" s="87" t="str">
        <f t="shared" si="11"/>
        <v>https://www.youtube.com/watch?v=yBF2fGUO5cQ</v>
      </c>
      <c r="X279" s="82" t="s">
        <v>2384</v>
      </c>
      <c r="Y279" s="82">
        <v>0</v>
      </c>
      <c r="Z279" s="89">
        <v>45286.87033564815</v>
      </c>
      <c r="AA279" s="89">
        <v>45286.87033564815</v>
      </c>
      <c r="AB279" s="82"/>
      <c r="AC279" s="82"/>
      <c r="AD279" s="85" t="s">
        <v>2423</v>
      </c>
      <c r="AE279" s="84" t="str">
        <f>REPLACE(INDEX(GroupVertices[Group],MATCH("~"&amp;Edges[[#This Row],[Vertex 1]],GroupVertices[Vertex],0)),1,1,"")</f>
        <v>1</v>
      </c>
      <c r="AF279" s="84" t="str">
        <f>REPLACE(INDEX(GroupVertices[Group],MATCH("~"&amp;Edges[[#This Row],[Vertex 2]],GroupVertices[Vertex],0)),1,1,"")</f>
        <v>1</v>
      </c>
    </row>
    <row r="280" spans="1:32" ht="15">
      <c r="A280" s="66" t="s">
        <v>465</v>
      </c>
      <c r="B280" s="66" t="s">
        <v>901</v>
      </c>
      <c r="C280" s="67"/>
      <c r="D280" s="68"/>
      <c r="E280" s="69"/>
      <c r="F280" s="70"/>
      <c r="G280" s="67"/>
      <c r="H280" s="71"/>
      <c r="I280" s="72"/>
      <c r="J280" s="72"/>
      <c r="K280" s="35"/>
      <c r="L280" s="80">
        <v>280</v>
      </c>
      <c r="M280" s="80"/>
      <c r="N280" s="74"/>
      <c r="O280" s="82" t="s">
        <v>909</v>
      </c>
      <c r="P280" s="82" t="s">
        <v>197</v>
      </c>
      <c r="Q280" s="85" t="s">
        <v>1186</v>
      </c>
      <c r="R280" s="82" t="s">
        <v>465</v>
      </c>
      <c r="S280" s="82" t="s">
        <v>1931</v>
      </c>
      <c r="T280" s="87" t="str">
        <f>HYPERLINK("http://www.youtube.com/channel/UCKBv1p7n0LHOF6OFAKr8ymA")</f>
        <v>http://www.youtube.com/channel/UCKBv1p7n0LHOF6OFAKr8ymA</v>
      </c>
      <c r="U280" s="82"/>
      <c r="V280" s="82" t="s">
        <v>2368</v>
      </c>
      <c r="W280" s="87" t="str">
        <f>HYPERLINK("https://www.youtube.com/watch?v=gLvkWpnzba8")</f>
        <v>https://www.youtube.com/watch?v=gLvkWpnzba8</v>
      </c>
      <c r="X280" s="82" t="s">
        <v>2384</v>
      </c>
      <c r="Y280" s="82">
        <v>0</v>
      </c>
      <c r="Z280" s="89">
        <v>45274.52465277778</v>
      </c>
      <c r="AA280" s="89">
        <v>45274.52465277778</v>
      </c>
      <c r="AB280" s="82"/>
      <c r="AC280" s="82"/>
      <c r="AD280" s="85" t="s">
        <v>2423</v>
      </c>
      <c r="AE280" s="84" t="str">
        <f>REPLACE(INDEX(GroupVertices[Group],MATCH("~"&amp;Edges[[#This Row],[Vertex 1]],GroupVertices[Vertex],0)),1,1,"")</f>
        <v>6</v>
      </c>
      <c r="AF280" s="84" t="str">
        <f>REPLACE(INDEX(GroupVertices[Group],MATCH("~"&amp;Edges[[#This Row],[Vertex 2]],GroupVertices[Vertex],0)),1,1,"")</f>
        <v>6</v>
      </c>
    </row>
    <row r="281" spans="1:32" ht="15">
      <c r="A281" s="66" t="s">
        <v>465</v>
      </c>
      <c r="B281" s="66" t="s">
        <v>907</v>
      </c>
      <c r="C281" s="67"/>
      <c r="D281" s="68"/>
      <c r="E281" s="69"/>
      <c r="F281" s="70"/>
      <c r="G281" s="67"/>
      <c r="H281" s="71"/>
      <c r="I281" s="72"/>
      <c r="J281" s="72"/>
      <c r="K281" s="35"/>
      <c r="L281" s="80">
        <v>281</v>
      </c>
      <c r="M281" s="80"/>
      <c r="N281" s="74"/>
      <c r="O281" s="82" t="s">
        <v>909</v>
      </c>
      <c r="P281" s="82" t="s">
        <v>197</v>
      </c>
      <c r="Q281" s="85" t="s">
        <v>1187</v>
      </c>
      <c r="R281" s="82" t="s">
        <v>465</v>
      </c>
      <c r="S281" s="82" t="s">
        <v>1931</v>
      </c>
      <c r="T281" s="87" t="str">
        <f>HYPERLINK("http://www.youtube.com/channel/UCKBv1p7n0LHOF6OFAKr8ymA")</f>
        <v>http://www.youtube.com/channel/UCKBv1p7n0LHOF6OFAKr8ymA</v>
      </c>
      <c r="U281" s="82"/>
      <c r="V281" s="82" t="s">
        <v>2370</v>
      </c>
      <c r="W281" s="87" t="str">
        <f aca="true" t="shared" si="12" ref="W281:W309">HYPERLINK("https://www.youtube.com/watch?v=yBF2fGUO5cQ")</f>
        <v>https://www.youtube.com/watch?v=yBF2fGUO5cQ</v>
      </c>
      <c r="X281" s="82" t="s">
        <v>2384</v>
      </c>
      <c r="Y281" s="82">
        <v>1</v>
      </c>
      <c r="Z281" s="89">
        <v>45286.88690972222</v>
      </c>
      <c r="AA281" s="89">
        <v>45286.88690972222</v>
      </c>
      <c r="AB281" s="82"/>
      <c r="AC281" s="82"/>
      <c r="AD281" s="85" t="s">
        <v>2423</v>
      </c>
      <c r="AE281" s="84" t="str">
        <f>REPLACE(INDEX(GroupVertices[Group],MATCH("~"&amp;Edges[[#This Row],[Vertex 1]],GroupVertices[Vertex],0)),1,1,"")</f>
        <v>6</v>
      </c>
      <c r="AF281" s="84" t="str">
        <f>REPLACE(INDEX(GroupVertices[Group],MATCH("~"&amp;Edges[[#This Row],[Vertex 2]],GroupVertices[Vertex],0)),1,1,"")</f>
        <v>1</v>
      </c>
    </row>
    <row r="282" spans="1:32" ht="15">
      <c r="A282" s="66" t="s">
        <v>466</v>
      </c>
      <c r="B282" s="66" t="s">
        <v>907</v>
      </c>
      <c r="C282" s="67"/>
      <c r="D282" s="68"/>
      <c r="E282" s="69"/>
      <c r="F282" s="70"/>
      <c r="G282" s="67"/>
      <c r="H282" s="71"/>
      <c r="I282" s="72"/>
      <c r="J282" s="72"/>
      <c r="K282" s="35"/>
      <c r="L282" s="80">
        <v>282</v>
      </c>
      <c r="M282" s="80"/>
      <c r="N282" s="74"/>
      <c r="O282" s="82" t="s">
        <v>909</v>
      </c>
      <c r="P282" s="82" t="s">
        <v>197</v>
      </c>
      <c r="Q282" s="85" t="s">
        <v>1188</v>
      </c>
      <c r="R282" s="82" t="s">
        <v>466</v>
      </c>
      <c r="S282" s="82" t="s">
        <v>1932</v>
      </c>
      <c r="T282" s="87" t="str">
        <f>HYPERLINK("http://www.youtube.com/channel/UCSq1ql-tqFgD5cP6tA4qbUg")</f>
        <v>http://www.youtube.com/channel/UCSq1ql-tqFgD5cP6tA4qbUg</v>
      </c>
      <c r="U282" s="82"/>
      <c r="V282" s="82" t="s">
        <v>2370</v>
      </c>
      <c r="W282" s="87" t="str">
        <f t="shared" si="12"/>
        <v>https://www.youtube.com/watch?v=yBF2fGUO5cQ</v>
      </c>
      <c r="X282" s="82" t="s">
        <v>2384</v>
      </c>
      <c r="Y282" s="82">
        <v>6</v>
      </c>
      <c r="Z282" s="89">
        <v>45286.890706018516</v>
      </c>
      <c r="AA282" s="89">
        <v>45286.890706018516</v>
      </c>
      <c r="AB282" s="82"/>
      <c r="AC282" s="82"/>
      <c r="AD282" s="85" t="s">
        <v>2423</v>
      </c>
      <c r="AE282" s="84" t="str">
        <f>REPLACE(INDEX(GroupVertices[Group],MATCH("~"&amp;Edges[[#This Row],[Vertex 1]],GroupVertices[Vertex],0)),1,1,"")</f>
        <v>1</v>
      </c>
      <c r="AF282" s="84" t="str">
        <f>REPLACE(INDEX(GroupVertices[Group],MATCH("~"&amp;Edges[[#This Row],[Vertex 2]],GroupVertices[Vertex],0)),1,1,"")</f>
        <v>1</v>
      </c>
    </row>
    <row r="283" spans="1:32" ht="15">
      <c r="A283" s="66" t="s">
        <v>467</v>
      </c>
      <c r="B283" s="66" t="s">
        <v>907</v>
      </c>
      <c r="C283" s="67"/>
      <c r="D283" s="68"/>
      <c r="E283" s="69"/>
      <c r="F283" s="70"/>
      <c r="G283" s="67"/>
      <c r="H283" s="71"/>
      <c r="I283" s="72"/>
      <c r="J283" s="72"/>
      <c r="K283" s="35"/>
      <c r="L283" s="80">
        <v>283</v>
      </c>
      <c r="M283" s="80"/>
      <c r="N283" s="74"/>
      <c r="O283" s="82" t="s">
        <v>909</v>
      </c>
      <c r="P283" s="82" t="s">
        <v>197</v>
      </c>
      <c r="Q283" s="85" t="s">
        <v>1189</v>
      </c>
      <c r="R283" s="82" t="s">
        <v>467</v>
      </c>
      <c r="S283" s="82" t="s">
        <v>1933</v>
      </c>
      <c r="T283" s="87" t="str">
        <f>HYPERLINK("http://www.youtube.com/channel/UCoYZatV4SXUGQsrmPt8wDUQ")</f>
        <v>http://www.youtube.com/channel/UCoYZatV4SXUGQsrmPt8wDUQ</v>
      </c>
      <c r="U283" s="82"/>
      <c r="V283" s="82" t="s">
        <v>2370</v>
      </c>
      <c r="W283" s="87" t="str">
        <f t="shared" si="12"/>
        <v>https://www.youtube.com/watch?v=yBF2fGUO5cQ</v>
      </c>
      <c r="X283" s="82" t="s">
        <v>2384</v>
      </c>
      <c r="Y283" s="82">
        <v>3</v>
      </c>
      <c r="Z283" s="89">
        <v>45286.904652777775</v>
      </c>
      <c r="AA283" s="89">
        <v>45286.904652777775</v>
      </c>
      <c r="AB283" s="82"/>
      <c r="AC283" s="82"/>
      <c r="AD283" s="85" t="s">
        <v>2423</v>
      </c>
      <c r="AE283" s="84" t="str">
        <f>REPLACE(INDEX(GroupVertices[Group],MATCH("~"&amp;Edges[[#This Row],[Vertex 1]],GroupVertices[Vertex],0)),1,1,"")</f>
        <v>1</v>
      </c>
      <c r="AF283" s="84" t="str">
        <f>REPLACE(INDEX(GroupVertices[Group],MATCH("~"&amp;Edges[[#This Row],[Vertex 2]],GroupVertices[Vertex],0)),1,1,"")</f>
        <v>1</v>
      </c>
    </row>
    <row r="284" spans="1:32" ht="15">
      <c r="A284" s="66" t="s">
        <v>468</v>
      </c>
      <c r="B284" s="66" t="s">
        <v>907</v>
      </c>
      <c r="C284" s="67"/>
      <c r="D284" s="68"/>
      <c r="E284" s="69"/>
      <c r="F284" s="70"/>
      <c r="G284" s="67"/>
      <c r="H284" s="71"/>
      <c r="I284" s="72"/>
      <c r="J284" s="72"/>
      <c r="K284" s="35"/>
      <c r="L284" s="80">
        <v>284</v>
      </c>
      <c r="M284" s="80"/>
      <c r="N284" s="74"/>
      <c r="O284" s="82" t="s">
        <v>909</v>
      </c>
      <c r="P284" s="82" t="s">
        <v>197</v>
      </c>
      <c r="Q284" s="85" t="s">
        <v>1190</v>
      </c>
      <c r="R284" s="82" t="s">
        <v>468</v>
      </c>
      <c r="S284" s="82" t="s">
        <v>1934</v>
      </c>
      <c r="T284" s="87" t="str">
        <f>HYPERLINK("http://www.youtube.com/channel/UC8IeVJo78c8s_9HxUPZoxxw")</f>
        <v>http://www.youtube.com/channel/UC8IeVJo78c8s_9HxUPZoxxw</v>
      </c>
      <c r="U284" s="82"/>
      <c r="V284" s="82" t="s">
        <v>2370</v>
      </c>
      <c r="W284" s="87" t="str">
        <f t="shared" si="12"/>
        <v>https://www.youtube.com/watch?v=yBF2fGUO5cQ</v>
      </c>
      <c r="X284" s="82" t="s">
        <v>2384</v>
      </c>
      <c r="Y284" s="82">
        <v>3</v>
      </c>
      <c r="Z284" s="89">
        <v>45286.922326388885</v>
      </c>
      <c r="AA284" s="89">
        <v>45286.922326388885</v>
      </c>
      <c r="AB284" s="82"/>
      <c r="AC284" s="82"/>
      <c r="AD284" s="85" t="s">
        <v>2423</v>
      </c>
      <c r="AE284" s="84" t="str">
        <f>REPLACE(INDEX(GroupVertices[Group],MATCH("~"&amp;Edges[[#This Row],[Vertex 1]],GroupVertices[Vertex],0)),1,1,"")</f>
        <v>1</v>
      </c>
      <c r="AF284" s="84" t="str">
        <f>REPLACE(INDEX(GroupVertices[Group],MATCH("~"&amp;Edges[[#This Row],[Vertex 2]],GroupVertices[Vertex],0)),1,1,"")</f>
        <v>1</v>
      </c>
    </row>
    <row r="285" spans="1:32" ht="15">
      <c r="A285" s="66" t="s">
        <v>469</v>
      </c>
      <c r="B285" s="66" t="s">
        <v>907</v>
      </c>
      <c r="C285" s="67"/>
      <c r="D285" s="68"/>
      <c r="E285" s="69"/>
      <c r="F285" s="70"/>
      <c r="G285" s="67"/>
      <c r="H285" s="71"/>
      <c r="I285" s="72"/>
      <c r="J285" s="72"/>
      <c r="K285" s="35"/>
      <c r="L285" s="80">
        <v>285</v>
      </c>
      <c r="M285" s="80"/>
      <c r="N285" s="74"/>
      <c r="O285" s="82" t="s">
        <v>909</v>
      </c>
      <c r="P285" s="82" t="s">
        <v>197</v>
      </c>
      <c r="Q285" s="85" t="s">
        <v>1191</v>
      </c>
      <c r="R285" s="82" t="s">
        <v>469</v>
      </c>
      <c r="S285" s="82" t="s">
        <v>1935</v>
      </c>
      <c r="T285" s="87" t="str">
        <f>HYPERLINK("http://www.youtube.com/channel/UCpYQNx09wnzoENmWINuIZaA")</f>
        <v>http://www.youtube.com/channel/UCpYQNx09wnzoENmWINuIZaA</v>
      </c>
      <c r="U285" s="82"/>
      <c r="V285" s="82" t="s">
        <v>2370</v>
      </c>
      <c r="W285" s="87" t="str">
        <f t="shared" si="12"/>
        <v>https://www.youtube.com/watch?v=yBF2fGUO5cQ</v>
      </c>
      <c r="X285" s="82" t="s">
        <v>2384</v>
      </c>
      <c r="Y285" s="82">
        <v>0</v>
      </c>
      <c r="Z285" s="89">
        <v>45286.98002314815</v>
      </c>
      <c r="AA285" s="89">
        <v>45286.98002314815</v>
      </c>
      <c r="AB285" s="82" t="s">
        <v>2397</v>
      </c>
      <c r="AC285" s="82" t="s">
        <v>2414</v>
      </c>
      <c r="AD285" s="85" t="s">
        <v>2423</v>
      </c>
      <c r="AE285" s="84" t="str">
        <f>REPLACE(INDEX(GroupVertices[Group],MATCH("~"&amp;Edges[[#This Row],[Vertex 1]],GroupVertices[Vertex],0)),1,1,"")</f>
        <v>1</v>
      </c>
      <c r="AF285" s="84" t="str">
        <f>REPLACE(INDEX(GroupVertices[Group],MATCH("~"&amp;Edges[[#This Row],[Vertex 2]],GroupVertices[Vertex],0)),1,1,"")</f>
        <v>1</v>
      </c>
    </row>
    <row r="286" spans="1:32" ht="15">
      <c r="A286" s="66" t="s">
        <v>470</v>
      </c>
      <c r="B286" s="66" t="s">
        <v>907</v>
      </c>
      <c r="C286" s="67"/>
      <c r="D286" s="68"/>
      <c r="E286" s="69"/>
      <c r="F286" s="70"/>
      <c r="G286" s="67"/>
      <c r="H286" s="71"/>
      <c r="I286" s="72"/>
      <c r="J286" s="72"/>
      <c r="K286" s="35"/>
      <c r="L286" s="80">
        <v>286</v>
      </c>
      <c r="M286" s="80"/>
      <c r="N286" s="74"/>
      <c r="O286" s="82" t="s">
        <v>909</v>
      </c>
      <c r="P286" s="82" t="s">
        <v>197</v>
      </c>
      <c r="Q286" s="85" t="s">
        <v>1192</v>
      </c>
      <c r="R286" s="82" t="s">
        <v>470</v>
      </c>
      <c r="S286" s="82" t="s">
        <v>1936</v>
      </c>
      <c r="T286" s="87" t="str">
        <f>HYPERLINK("http://www.youtube.com/channel/UC3_a08NPE-NHhmWr8hbZxwg")</f>
        <v>http://www.youtube.com/channel/UC3_a08NPE-NHhmWr8hbZxwg</v>
      </c>
      <c r="U286" s="82"/>
      <c r="V286" s="82" t="s">
        <v>2370</v>
      </c>
      <c r="W286" s="87" t="str">
        <f t="shared" si="12"/>
        <v>https://www.youtube.com/watch?v=yBF2fGUO5cQ</v>
      </c>
      <c r="X286" s="82" t="s">
        <v>2384</v>
      </c>
      <c r="Y286" s="82">
        <v>2</v>
      </c>
      <c r="Z286" s="89">
        <v>45287.00748842592</v>
      </c>
      <c r="AA286" s="89">
        <v>45287.00748842592</v>
      </c>
      <c r="AB286" s="82"/>
      <c r="AC286" s="82"/>
      <c r="AD286" s="85" t="s">
        <v>2423</v>
      </c>
      <c r="AE286" s="84" t="str">
        <f>REPLACE(INDEX(GroupVertices[Group],MATCH("~"&amp;Edges[[#This Row],[Vertex 1]],GroupVertices[Vertex],0)),1,1,"")</f>
        <v>1</v>
      </c>
      <c r="AF286" s="84" t="str">
        <f>REPLACE(INDEX(GroupVertices[Group],MATCH("~"&amp;Edges[[#This Row],[Vertex 2]],GroupVertices[Vertex],0)),1,1,"")</f>
        <v>1</v>
      </c>
    </row>
    <row r="287" spans="1:32" ht="15">
      <c r="A287" s="66" t="s">
        <v>471</v>
      </c>
      <c r="B287" s="66" t="s">
        <v>907</v>
      </c>
      <c r="C287" s="67"/>
      <c r="D287" s="68"/>
      <c r="E287" s="69"/>
      <c r="F287" s="70"/>
      <c r="G287" s="67"/>
      <c r="H287" s="71"/>
      <c r="I287" s="72"/>
      <c r="J287" s="72"/>
      <c r="K287" s="35"/>
      <c r="L287" s="80">
        <v>287</v>
      </c>
      <c r="M287" s="80"/>
      <c r="N287" s="74"/>
      <c r="O287" s="82" t="s">
        <v>909</v>
      </c>
      <c r="P287" s="82" t="s">
        <v>197</v>
      </c>
      <c r="Q287" s="85" t="s">
        <v>1193</v>
      </c>
      <c r="R287" s="82" t="s">
        <v>471</v>
      </c>
      <c r="S287" s="82" t="s">
        <v>1937</v>
      </c>
      <c r="T287" s="87" t="str">
        <f>HYPERLINK("http://www.youtube.com/channel/UCGLH2RwIrSUzQrtbO0dDg6g")</f>
        <v>http://www.youtube.com/channel/UCGLH2RwIrSUzQrtbO0dDg6g</v>
      </c>
      <c r="U287" s="82"/>
      <c r="V287" s="82" t="s">
        <v>2370</v>
      </c>
      <c r="W287" s="87" t="str">
        <f t="shared" si="12"/>
        <v>https://www.youtube.com/watch?v=yBF2fGUO5cQ</v>
      </c>
      <c r="X287" s="82" t="s">
        <v>2384</v>
      </c>
      <c r="Y287" s="82">
        <v>1</v>
      </c>
      <c r="Z287" s="89">
        <v>45287.13513888889</v>
      </c>
      <c r="AA287" s="89">
        <v>45287.13513888889</v>
      </c>
      <c r="AB287" s="82"/>
      <c r="AC287" s="82"/>
      <c r="AD287" s="85" t="s">
        <v>2423</v>
      </c>
      <c r="AE287" s="84" t="str">
        <f>REPLACE(INDEX(GroupVertices[Group],MATCH("~"&amp;Edges[[#This Row],[Vertex 1]],GroupVertices[Vertex],0)),1,1,"")</f>
        <v>1</v>
      </c>
      <c r="AF287" s="84" t="str">
        <f>REPLACE(INDEX(GroupVertices[Group],MATCH("~"&amp;Edges[[#This Row],[Vertex 2]],GroupVertices[Vertex],0)),1,1,"")</f>
        <v>1</v>
      </c>
    </row>
    <row r="288" spans="1:32" ht="15">
      <c r="A288" s="66" t="s">
        <v>472</v>
      </c>
      <c r="B288" s="66" t="s">
        <v>907</v>
      </c>
      <c r="C288" s="67"/>
      <c r="D288" s="68"/>
      <c r="E288" s="69"/>
      <c r="F288" s="70"/>
      <c r="G288" s="67"/>
      <c r="H288" s="71"/>
      <c r="I288" s="72"/>
      <c r="J288" s="72"/>
      <c r="K288" s="35"/>
      <c r="L288" s="80">
        <v>288</v>
      </c>
      <c r="M288" s="80"/>
      <c r="N288" s="74"/>
      <c r="O288" s="82" t="s">
        <v>909</v>
      </c>
      <c r="P288" s="82" t="s">
        <v>197</v>
      </c>
      <c r="Q288" s="85" t="s">
        <v>1194</v>
      </c>
      <c r="R288" s="82" t="s">
        <v>472</v>
      </c>
      <c r="S288" s="82" t="s">
        <v>1938</v>
      </c>
      <c r="T288" s="87" t="str">
        <f>HYPERLINK("http://www.youtube.com/channel/UCmPeOGgQC7v40JsAGwnCKkw")</f>
        <v>http://www.youtube.com/channel/UCmPeOGgQC7v40JsAGwnCKkw</v>
      </c>
      <c r="U288" s="82"/>
      <c r="V288" s="82" t="s">
        <v>2370</v>
      </c>
      <c r="W288" s="87" t="str">
        <f t="shared" si="12"/>
        <v>https://www.youtube.com/watch?v=yBF2fGUO5cQ</v>
      </c>
      <c r="X288" s="82" t="s">
        <v>2384</v>
      </c>
      <c r="Y288" s="82">
        <v>5</v>
      </c>
      <c r="Z288" s="89">
        <v>45287.244467592594</v>
      </c>
      <c r="AA288" s="89">
        <v>45287.244467592594</v>
      </c>
      <c r="AB288" s="82"/>
      <c r="AC288" s="82"/>
      <c r="AD288" s="85" t="s">
        <v>2423</v>
      </c>
      <c r="AE288" s="84" t="str">
        <f>REPLACE(INDEX(GroupVertices[Group],MATCH("~"&amp;Edges[[#This Row],[Vertex 1]],GroupVertices[Vertex],0)),1,1,"")</f>
        <v>1</v>
      </c>
      <c r="AF288" s="84" t="str">
        <f>REPLACE(INDEX(GroupVertices[Group],MATCH("~"&amp;Edges[[#This Row],[Vertex 2]],GroupVertices[Vertex],0)),1,1,"")</f>
        <v>1</v>
      </c>
    </row>
    <row r="289" spans="1:32" ht="15">
      <c r="A289" s="66" t="s">
        <v>473</v>
      </c>
      <c r="B289" s="66" t="s">
        <v>907</v>
      </c>
      <c r="C289" s="67"/>
      <c r="D289" s="68"/>
      <c r="E289" s="69"/>
      <c r="F289" s="70"/>
      <c r="G289" s="67"/>
      <c r="H289" s="71"/>
      <c r="I289" s="72"/>
      <c r="J289" s="72"/>
      <c r="K289" s="35"/>
      <c r="L289" s="80">
        <v>289</v>
      </c>
      <c r="M289" s="80"/>
      <c r="N289" s="74"/>
      <c r="O289" s="82" t="s">
        <v>909</v>
      </c>
      <c r="P289" s="82" t="s">
        <v>197</v>
      </c>
      <c r="Q289" s="85" t="s">
        <v>1195</v>
      </c>
      <c r="R289" s="82" t="s">
        <v>473</v>
      </c>
      <c r="S289" s="82" t="s">
        <v>1939</v>
      </c>
      <c r="T289" s="87" t="str">
        <f>HYPERLINK("http://www.youtube.com/channel/UCDRddzLJ31RaeSJXr7wi93A")</f>
        <v>http://www.youtube.com/channel/UCDRddzLJ31RaeSJXr7wi93A</v>
      </c>
      <c r="U289" s="82"/>
      <c r="V289" s="82" t="s">
        <v>2370</v>
      </c>
      <c r="W289" s="87" t="str">
        <f t="shared" si="12"/>
        <v>https://www.youtube.com/watch?v=yBF2fGUO5cQ</v>
      </c>
      <c r="X289" s="82" t="s">
        <v>2384</v>
      </c>
      <c r="Y289" s="82">
        <v>1</v>
      </c>
      <c r="Z289" s="89">
        <v>45287.32336805556</v>
      </c>
      <c r="AA289" s="89">
        <v>45287.32336805556</v>
      </c>
      <c r="AB289" s="82"/>
      <c r="AC289" s="82"/>
      <c r="AD289" s="85" t="s">
        <v>2423</v>
      </c>
      <c r="AE289" s="84" t="str">
        <f>REPLACE(INDEX(GroupVertices[Group],MATCH("~"&amp;Edges[[#This Row],[Vertex 1]],GroupVertices[Vertex],0)),1,1,"")</f>
        <v>1</v>
      </c>
      <c r="AF289" s="84" t="str">
        <f>REPLACE(INDEX(GroupVertices[Group],MATCH("~"&amp;Edges[[#This Row],[Vertex 2]],GroupVertices[Vertex],0)),1,1,"")</f>
        <v>1</v>
      </c>
    </row>
    <row r="290" spans="1:32" ht="15">
      <c r="A290" s="66" t="s">
        <v>474</v>
      </c>
      <c r="B290" s="66" t="s">
        <v>907</v>
      </c>
      <c r="C290" s="67"/>
      <c r="D290" s="68"/>
      <c r="E290" s="69"/>
      <c r="F290" s="70"/>
      <c r="G290" s="67"/>
      <c r="H290" s="71"/>
      <c r="I290" s="72"/>
      <c r="J290" s="72"/>
      <c r="K290" s="35"/>
      <c r="L290" s="80">
        <v>290</v>
      </c>
      <c r="M290" s="80"/>
      <c r="N290" s="74"/>
      <c r="O290" s="82" t="s">
        <v>909</v>
      </c>
      <c r="P290" s="82" t="s">
        <v>197</v>
      </c>
      <c r="Q290" s="85" t="s">
        <v>1196</v>
      </c>
      <c r="R290" s="82" t="s">
        <v>474</v>
      </c>
      <c r="S290" s="82" t="s">
        <v>1940</v>
      </c>
      <c r="T290" s="87" t="str">
        <f>HYPERLINK("http://www.youtube.com/channel/UC2kcz3diFpJ88PfQil2AfBg")</f>
        <v>http://www.youtube.com/channel/UC2kcz3diFpJ88PfQil2AfBg</v>
      </c>
      <c r="U290" s="82"/>
      <c r="V290" s="82" t="s">
        <v>2370</v>
      </c>
      <c r="W290" s="87" t="str">
        <f t="shared" si="12"/>
        <v>https://www.youtube.com/watch?v=yBF2fGUO5cQ</v>
      </c>
      <c r="X290" s="82" t="s">
        <v>2384</v>
      </c>
      <c r="Y290" s="82">
        <v>1</v>
      </c>
      <c r="Z290" s="89">
        <v>45287.34512731482</v>
      </c>
      <c r="AA290" s="89">
        <v>45287.34512731482</v>
      </c>
      <c r="AB290" s="82"/>
      <c r="AC290" s="82"/>
      <c r="AD290" s="85" t="s">
        <v>2423</v>
      </c>
      <c r="AE290" s="84" t="str">
        <f>REPLACE(INDEX(GroupVertices[Group],MATCH("~"&amp;Edges[[#This Row],[Vertex 1]],GroupVertices[Vertex],0)),1,1,"")</f>
        <v>1</v>
      </c>
      <c r="AF290" s="84" t="str">
        <f>REPLACE(INDEX(GroupVertices[Group],MATCH("~"&amp;Edges[[#This Row],[Vertex 2]],GroupVertices[Vertex],0)),1,1,"")</f>
        <v>1</v>
      </c>
    </row>
    <row r="291" spans="1:32" ht="15">
      <c r="A291" s="66" t="s">
        <v>475</v>
      </c>
      <c r="B291" s="66" t="s">
        <v>907</v>
      </c>
      <c r="C291" s="67"/>
      <c r="D291" s="68"/>
      <c r="E291" s="69"/>
      <c r="F291" s="70"/>
      <c r="G291" s="67"/>
      <c r="H291" s="71"/>
      <c r="I291" s="72"/>
      <c r="J291" s="72"/>
      <c r="K291" s="35"/>
      <c r="L291" s="80">
        <v>291</v>
      </c>
      <c r="M291" s="80"/>
      <c r="N291" s="74"/>
      <c r="O291" s="82" t="s">
        <v>909</v>
      </c>
      <c r="P291" s="82" t="s">
        <v>197</v>
      </c>
      <c r="Q291" s="85" t="s">
        <v>1197</v>
      </c>
      <c r="R291" s="82" t="s">
        <v>475</v>
      </c>
      <c r="S291" s="82" t="s">
        <v>1941</v>
      </c>
      <c r="T291" s="87" t="str">
        <f>HYPERLINK("http://www.youtube.com/channel/UCq7wQaZ9_DkRV_qvFmrfPcQ")</f>
        <v>http://www.youtube.com/channel/UCq7wQaZ9_DkRV_qvFmrfPcQ</v>
      </c>
      <c r="U291" s="82"/>
      <c r="V291" s="82" t="s">
        <v>2370</v>
      </c>
      <c r="W291" s="87" t="str">
        <f t="shared" si="12"/>
        <v>https://www.youtube.com/watch?v=yBF2fGUO5cQ</v>
      </c>
      <c r="X291" s="82" t="s">
        <v>2384</v>
      </c>
      <c r="Y291" s="82">
        <v>2</v>
      </c>
      <c r="Z291" s="89">
        <v>45287.43472222222</v>
      </c>
      <c r="AA291" s="89">
        <v>45287.43472222222</v>
      </c>
      <c r="AB291" s="82"/>
      <c r="AC291" s="82"/>
      <c r="AD291" s="85" t="s">
        <v>2423</v>
      </c>
      <c r="AE291" s="84" t="str">
        <f>REPLACE(INDEX(GroupVertices[Group],MATCH("~"&amp;Edges[[#This Row],[Vertex 1]],GroupVertices[Vertex],0)),1,1,"")</f>
        <v>1</v>
      </c>
      <c r="AF291" s="84" t="str">
        <f>REPLACE(INDEX(GroupVertices[Group],MATCH("~"&amp;Edges[[#This Row],[Vertex 2]],GroupVertices[Vertex],0)),1,1,"")</f>
        <v>1</v>
      </c>
    </row>
    <row r="292" spans="1:32" ht="15">
      <c r="A292" s="66" t="s">
        <v>476</v>
      </c>
      <c r="B292" s="66" t="s">
        <v>907</v>
      </c>
      <c r="C292" s="67"/>
      <c r="D292" s="68"/>
      <c r="E292" s="69"/>
      <c r="F292" s="70"/>
      <c r="G292" s="67"/>
      <c r="H292" s="71"/>
      <c r="I292" s="72"/>
      <c r="J292" s="72"/>
      <c r="K292" s="35"/>
      <c r="L292" s="80">
        <v>292</v>
      </c>
      <c r="M292" s="80"/>
      <c r="N292" s="74"/>
      <c r="O292" s="82" t="s">
        <v>909</v>
      </c>
      <c r="P292" s="82" t="s">
        <v>197</v>
      </c>
      <c r="Q292" s="85" t="s">
        <v>1198</v>
      </c>
      <c r="R292" s="82" t="s">
        <v>476</v>
      </c>
      <c r="S292" s="82" t="s">
        <v>1942</v>
      </c>
      <c r="T292" s="87" t="str">
        <f>HYPERLINK("http://www.youtube.com/channel/UCWH44Hv1eb3q340UUvwqGXw")</f>
        <v>http://www.youtube.com/channel/UCWH44Hv1eb3q340UUvwqGXw</v>
      </c>
      <c r="U292" s="82"/>
      <c r="V292" s="82" t="s">
        <v>2370</v>
      </c>
      <c r="W292" s="87" t="str">
        <f t="shared" si="12"/>
        <v>https://www.youtube.com/watch?v=yBF2fGUO5cQ</v>
      </c>
      <c r="X292" s="82" t="s">
        <v>2384</v>
      </c>
      <c r="Y292" s="82">
        <v>3</v>
      </c>
      <c r="Z292" s="89">
        <v>45287.437060185184</v>
      </c>
      <c r="AA292" s="89">
        <v>45287.437060185184</v>
      </c>
      <c r="AB292" s="82"/>
      <c r="AC292" s="82"/>
      <c r="AD292" s="85" t="s">
        <v>2423</v>
      </c>
      <c r="AE292" s="84" t="str">
        <f>REPLACE(INDEX(GroupVertices[Group],MATCH("~"&amp;Edges[[#This Row],[Vertex 1]],GroupVertices[Vertex],0)),1,1,"")</f>
        <v>1</v>
      </c>
      <c r="AF292" s="84" t="str">
        <f>REPLACE(INDEX(GroupVertices[Group],MATCH("~"&amp;Edges[[#This Row],[Vertex 2]],GroupVertices[Vertex],0)),1,1,"")</f>
        <v>1</v>
      </c>
    </row>
    <row r="293" spans="1:32" ht="15">
      <c r="A293" s="66" t="s">
        <v>477</v>
      </c>
      <c r="B293" s="66" t="s">
        <v>907</v>
      </c>
      <c r="C293" s="67"/>
      <c r="D293" s="68"/>
      <c r="E293" s="69"/>
      <c r="F293" s="70"/>
      <c r="G293" s="67"/>
      <c r="H293" s="71"/>
      <c r="I293" s="72"/>
      <c r="J293" s="72"/>
      <c r="K293" s="35"/>
      <c r="L293" s="80">
        <v>293</v>
      </c>
      <c r="M293" s="80"/>
      <c r="N293" s="74"/>
      <c r="O293" s="82" t="s">
        <v>909</v>
      </c>
      <c r="P293" s="82" t="s">
        <v>197</v>
      </c>
      <c r="Q293" s="85" t="s">
        <v>1199</v>
      </c>
      <c r="R293" s="82" t="s">
        <v>477</v>
      </c>
      <c r="S293" s="82" t="s">
        <v>1943</v>
      </c>
      <c r="T293" s="87" t="str">
        <f>HYPERLINK("http://www.youtube.com/channel/UCXjKc2VsK3tLsPUBn_TjDvQ")</f>
        <v>http://www.youtube.com/channel/UCXjKc2VsK3tLsPUBn_TjDvQ</v>
      </c>
      <c r="U293" s="82"/>
      <c r="V293" s="82" t="s">
        <v>2370</v>
      </c>
      <c r="W293" s="87" t="str">
        <f t="shared" si="12"/>
        <v>https://www.youtube.com/watch?v=yBF2fGUO5cQ</v>
      </c>
      <c r="X293" s="82" t="s">
        <v>2384</v>
      </c>
      <c r="Y293" s="82">
        <v>2</v>
      </c>
      <c r="Z293" s="89">
        <v>45287.75784722222</v>
      </c>
      <c r="AA293" s="89">
        <v>45287.76063657407</v>
      </c>
      <c r="AB293" s="82"/>
      <c r="AC293" s="82"/>
      <c r="AD293" s="85" t="s">
        <v>2423</v>
      </c>
      <c r="AE293" s="84" t="str">
        <f>REPLACE(INDEX(GroupVertices[Group],MATCH("~"&amp;Edges[[#This Row],[Vertex 1]],GroupVertices[Vertex],0)),1,1,"")</f>
        <v>1</v>
      </c>
      <c r="AF293" s="84" t="str">
        <f>REPLACE(INDEX(GroupVertices[Group],MATCH("~"&amp;Edges[[#This Row],[Vertex 2]],GroupVertices[Vertex],0)),1,1,"")</f>
        <v>1</v>
      </c>
    </row>
    <row r="294" spans="1:32" ht="15">
      <c r="A294" s="66" t="s">
        <v>478</v>
      </c>
      <c r="B294" s="66" t="s">
        <v>907</v>
      </c>
      <c r="C294" s="67"/>
      <c r="D294" s="68"/>
      <c r="E294" s="69"/>
      <c r="F294" s="70"/>
      <c r="G294" s="67"/>
      <c r="H294" s="71"/>
      <c r="I294" s="72"/>
      <c r="J294" s="72"/>
      <c r="K294" s="35"/>
      <c r="L294" s="80">
        <v>294</v>
      </c>
      <c r="M294" s="80"/>
      <c r="N294" s="74"/>
      <c r="O294" s="82" t="s">
        <v>909</v>
      </c>
      <c r="P294" s="82" t="s">
        <v>197</v>
      </c>
      <c r="Q294" s="85" t="s">
        <v>1200</v>
      </c>
      <c r="R294" s="82" t="s">
        <v>478</v>
      </c>
      <c r="S294" s="82" t="s">
        <v>1944</v>
      </c>
      <c r="T294" s="87" t="str">
        <f>HYPERLINK("http://www.youtube.com/channel/UCrX2cOh70pKH72xC97MHfsA")</f>
        <v>http://www.youtube.com/channel/UCrX2cOh70pKH72xC97MHfsA</v>
      </c>
      <c r="U294" s="82"/>
      <c r="V294" s="82" t="s">
        <v>2370</v>
      </c>
      <c r="W294" s="87" t="str">
        <f t="shared" si="12"/>
        <v>https://www.youtube.com/watch?v=yBF2fGUO5cQ</v>
      </c>
      <c r="X294" s="82" t="s">
        <v>2384</v>
      </c>
      <c r="Y294" s="82">
        <v>1</v>
      </c>
      <c r="Z294" s="89">
        <v>45287.79677083333</v>
      </c>
      <c r="AA294" s="89">
        <v>45287.79677083333</v>
      </c>
      <c r="AB294" s="82"/>
      <c r="AC294" s="82"/>
      <c r="AD294" s="85" t="s">
        <v>2423</v>
      </c>
      <c r="AE294" s="84" t="str">
        <f>REPLACE(INDEX(GroupVertices[Group],MATCH("~"&amp;Edges[[#This Row],[Vertex 1]],GroupVertices[Vertex],0)),1,1,"")</f>
        <v>1</v>
      </c>
      <c r="AF294" s="84" t="str">
        <f>REPLACE(INDEX(GroupVertices[Group],MATCH("~"&amp;Edges[[#This Row],[Vertex 2]],GroupVertices[Vertex],0)),1,1,"")</f>
        <v>1</v>
      </c>
    </row>
    <row r="295" spans="1:32" ht="15">
      <c r="A295" s="66" t="s">
        <v>479</v>
      </c>
      <c r="B295" s="66" t="s">
        <v>907</v>
      </c>
      <c r="C295" s="67"/>
      <c r="D295" s="68"/>
      <c r="E295" s="69"/>
      <c r="F295" s="70"/>
      <c r="G295" s="67"/>
      <c r="H295" s="71"/>
      <c r="I295" s="72"/>
      <c r="J295" s="72"/>
      <c r="K295" s="35"/>
      <c r="L295" s="80">
        <v>295</v>
      </c>
      <c r="M295" s="80"/>
      <c r="N295" s="74"/>
      <c r="O295" s="82" t="s">
        <v>909</v>
      </c>
      <c r="P295" s="82" t="s">
        <v>197</v>
      </c>
      <c r="Q295" s="85" t="s">
        <v>1201</v>
      </c>
      <c r="R295" s="82" t="s">
        <v>479</v>
      </c>
      <c r="S295" s="82" t="s">
        <v>1945</v>
      </c>
      <c r="T295" s="87" t="str">
        <f>HYPERLINK("http://www.youtube.com/channel/UC3Mxp8B5u8aM-lfSaItXJ_A")</f>
        <v>http://www.youtube.com/channel/UC3Mxp8B5u8aM-lfSaItXJ_A</v>
      </c>
      <c r="U295" s="82"/>
      <c r="V295" s="82" t="s">
        <v>2370</v>
      </c>
      <c r="W295" s="87" t="str">
        <f t="shared" si="12"/>
        <v>https://www.youtube.com/watch?v=yBF2fGUO5cQ</v>
      </c>
      <c r="X295" s="82" t="s">
        <v>2384</v>
      </c>
      <c r="Y295" s="82">
        <v>0</v>
      </c>
      <c r="Z295" s="89">
        <v>45287.852060185185</v>
      </c>
      <c r="AA295" s="89">
        <v>45287.852060185185</v>
      </c>
      <c r="AB295" s="82"/>
      <c r="AC295" s="82"/>
      <c r="AD295" s="85" t="s">
        <v>2423</v>
      </c>
      <c r="AE295" s="84" t="str">
        <f>REPLACE(INDEX(GroupVertices[Group],MATCH("~"&amp;Edges[[#This Row],[Vertex 1]],GroupVertices[Vertex],0)),1,1,"")</f>
        <v>1</v>
      </c>
      <c r="AF295" s="84" t="str">
        <f>REPLACE(INDEX(GroupVertices[Group],MATCH("~"&amp;Edges[[#This Row],[Vertex 2]],GroupVertices[Vertex],0)),1,1,"")</f>
        <v>1</v>
      </c>
    </row>
    <row r="296" spans="1:32" ht="15">
      <c r="A296" s="66" t="s">
        <v>480</v>
      </c>
      <c r="B296" s="66" t="s">
        <v>907</v>
      </c>
      <c r="C296" s="67"/>
      <c r="D296" s="68"/>
      <c r="E296" s="69"/>
      <c r="F296" s="70"/>
      <c r="G296" s="67"/>
      <c r="H296" s="71"/>
      <c r="I296" s="72"/>
      <c r="J296" s="72"/>
      <c r="K296" s="35"/>
      <c r="L296" s="80">
        <v>296</v>
      </c>
      <c r="M296" s="80"/>
      <c r="N296" s="74"/>
      <c r="O296" s="82" t="s">
        <v>909</v>
      </c>
      <c r="P296" s="82" t="s">
        <v>197</v>
      </c>
      <c r="Q296" s="85" t="s">
        <v>1202</v>
      </c>
      <c r="R296" s="82" t="s">
        <v>480</v>
      </c>
      <c r="S296" s="82" t="s">
        <v>1946</v>
      </c>
      <c r="T296" s="87" t="str">
        <f>HYPERLINK("http://www.youtube.com/channel/UC5iTVs-0MTyy72Hw6s_TnFw")</f>
        <v>http://www.youtube.com/channel/UC5iTVs-0MTyy72Hw6s_TnFw</v>
      </c>
      <c r="U296" s="82"/>
      <c r="V296" s="82" t="s">
        <v>2370</v>
      </c>
      <c r="W296" s="87" t="str">
        <f t="shared" si="12"/>
        <v>https://www.youtube.com/watch?v=yBF2fGUO5cQ</v>
      </c>
      <c r="X296" s="82" t="s">
        <v>2384</v>
      </c>
      <c r="Y296" s="82">
        <v>1</v>
      </c>
      <c r="Z296" s="89">
        <v>45288.01756944445</v>
      </c>
      <c r="AA296" s="89">
        <v>45288.01756944445</v>
      </c>
      <c r="AB296" s="82"/>
      <c r="AC296" s="82"/>
      <c r="AD296" s="85" t="s">
        <v>2423</v>
      </c>
      <c r="AE296" s="84" t="str">
        <f>REPLACE(INDEX(GroupVertices[Group],MATCH("~"&amp;Edges[[#This Row],[Vertex 1]],GroupVertices[Vertex],0)),1,1,"")</f>
        <v>1</v>
      </c>
      <c r="AF296" s="84" t="str">
        <f>REPLACE(INDEX(GroupVertices[Group],MATCH("~"&amp;Edges[[#This Row],[Vertex 2]],GroupVertices[Vertex],0)),1,1,"")</f>
        <v>1</v>
      </c>
    </row>
    <row r="297" spans="1:32" ht="15">
      <c r="A297" s="66" t="s">
        <v>481</v>
      </c>
      <c r="B297" s="66" t="s">
        <v>907</v>
      </c>
      <c r="C297" s="67"/>
      <c r="D297" s="68"/>
      <c r="E297" s="69"/>
      <c r="F297" s="70"/>
      <c r="G297" s="67"/>
      <c r="H297" s="71"/>
      <c r="I297" s="72"/>
      <c r="J297" s="72"/>
      <c r="K297" s="35"/>
      <c r="L297" s="80">
        <v>297</v>
      </c>
      <c r="M297" s="80"/>
      <c r="N297" s="74"/>
      <c r="O297" s="82" t="s">
        <v>909</v>
      </c>
      <c r="P297" s="82" t="s">
        <v>197</v>
      </c>
      <c r="Q297" s="85" t="s">
        <v>1203</v>
      </c>
      <c r="R297" s="82" t="s">
        <v>481</v>
      </c>
      <c r="S297" s="82" t="s">
        <v>1947</v>
      </c>
      <c r="T297" s="87" t="str">
        <f>HYPERLINK("http://www.youtube.com/channel/UCWudO00TOqPNkIEEsT95PSw")</f>
        <v>http://www.youtube.com/channel/UCWudO00TOqPNkIEEsT95PSw</v>
      </c>
      <c r="U297" s="82"/>
      <c r="V297" s="82" t="s">
        <v>2370</v>
      </c>
      <c r="W297" s="87" t="str">
        <f t="shared" si="12"/>
        <v>https://www.youtube.com/watch?v=yBF2fGUO5cQ</v>
      </c>
      <c r="X297" s="82" t="s">
        <v>2384</v>
      </c>
      <c r="Y297" s="82">
        <v>7</v>
      </c>
      <c r="Z297" s="89">
        <v>45288.027708333335</v>
      </c>
      <c r="AA297" s="89">
        <v>45288.027708333335</v>
      </c>
      <c r="AB297" s="82"/>
      <c r="AC297" s="82"/>
      <c r="AD297" s="85" t="s">
        <v>2423</v>
      </c>
      <c r="AE297" s="84" t="str">
        <f>REPLACE(INDEX(GroupVertices[Group],MATCH("~"&amp;Edges[[#This Row],[Vertex 1]],GroupVertices[Vertex],0)),1,1,"")</f>
        <v>1</v>
      </c>
      <c r="AF297" s="84" t="str">
        <f>REPLACE(INDEX(GroupVertices[Group],MATCH("~"&amp;Edges[[#This Row],[Vertex 2]],GroupVertices[Vertex],0)),1,1,"")</f>
        <v>1</v>
      </c>
    </row>
    <row r="298" spans="1:32" ht="15">
      <c r="A298" s="66" t="s">
        <v>482</v>
      </c>
      <c r="B298" s="66" t="s">
        <v>907</v>
      </c>
      <c r="C298" s="67"/>
      <c r="D298" s="68"/>
      <c r="E298" s="69"/>
      <c r="F298" s="70"/>
      <c r="G298" s="67"/>
      <c r="H298" s="71"/>
      <c r="I298" s="72"/>
      <c r="J298" s="72"/>
      <c r="K298" s="35"/>
      <c r="L298" s="80">
        <v>298</v>
      </c>
      <c r="M298" s="80"/>
      <c r="N298" s="74"/>
      <c r="O298" s="82" t="s">
        <v>909</v>
      </c>
      <c r="P298" s="82" t="s">
        <v>197</v>
      </c>
      <c r="Q298" s="85" t="s">
        <v>1204</v>
      </c>
      <c r="R298" s="82" t="s">
        <v>482</v>
      </c>
      <c r="S298" s="82" t="s">
        <v>1948</v>
      </c>
      <c r="T298" s="87" t="str">
        <f>HYPERLINK("http://www.youtube.com/channel/UCSS1ceUwp8E2wu2LVYqrSJg")</f>
        <v>http://www.youtube.com/channel/UCSS1ceUwp8E2wu2LVYqrSJg</v>
      </c>
      <c r="U298" s="82"/>
      <c r="V298" s="82" t="s">
        <v>2370</v>
      </c>
      <c r="W298" s="87" t="str">
        <f t="shared" si="12"/>
        <v>https://www.youtube.com/watch?v=yBF2fGUO5cQ</v>
      </c>
      <c r="X298" s="82" t="s">
        <v>2384</v>
      </c>
      <c r="Y298" s="82">
        <v>1</v>
      </c>
      <c r="Z298" s="89">
        <v>45288.03349537037</v>
      </c>
      <c r="AA298" s="89">
        <v>45288.03349537037</v>
      </c>
      <c r="AB298" s="82"/>
      <c r="AC298" s="82"/>
      <c r="AD298" s="85" t="s">
        <v>2423</v>
      </c>
      <c r="AE298" s="84" t="str">
        <f>REPLACE(INDEX(GroupVertices[Group],MATCH("~"&amp;Edges[[#This Row],[Vertex 1]],GroupVertices[Vertex],0)),1,1,"")</f>
        <v>1</v>
      </c>
      <c r="AF298" s="84" t="str">
        <f>REPLACE(INDEX(GroupVertices[Group],MATCH("~"&amp;Edges[[#This Row],[Vertex 2]],GroupVertices[Vertex],0)),1,1,"")</f>
        <v>1</v>
      </c>
    </row>
    <row r="299" spans="1:32" ht="15">
      <c r="A299" s="66" t="s">
        <v>483</v>
      </c>
      <c r="B299" s="66" t="s">
        <v>907</v>
      </c>
      <c r="C299" s="67"/>
      <c r="D299" s="68"/>
      <c r="E299" s="69"/>
      <c r="F299" s="70"/>
      <c r="G299" s="67"/>
      <c r="H299" s="71"/>
      <c r="I299" s="72"/>
      <c r="J299" s="72"/>
      <c r="K299" s="35"/>
      <c r="L299" s="80">
        <v>299</v>
      </c>
      <c r="M299" s="80"/>
      <c r="N299" s="74"/>
      <c r="O299" s="82" t="s">
        <v>909</v>
      </c>
      <c r="P299" s="82" t="s">
        <v>197</v>
      </c>
      <c r="Q299" s="85" t="s">
        <v>1205</v>
      </c>
      <c r="R299" s="82" t="s">
        <v>483</v>
      </c>
      <c r="S299" s="82" t="s">
        <v>1949</v>
      </c>
      <c r="T299" s="87" t="str">
        <f>HYPERLINK("http://www.youtube.com/channel/UCF6yTL7Q32JD9XY6t0RPlFQ")</f>
        <v>http://www.youtube.com/channel/UCF6yTL7Q32JD9XY6t0RPlFQ</v>
      </c>
      <c r="U299" s="82"/>
      <c r="V299" s="82" t="s">
        <v>2370</v>
      </c>
      <c r="W299" s="87" t="str">
        <f t="shared" si="12"/>
        <v>https://www.youtube.com/watch?v=yBF2fGUO5cQ</v>
      </c>
      <c r="X299" s="82" t="s">
        <v>2384</v>
      </c>
      <c r="Y299" s="82">
        <v>0</v>
      </c>
      <c r="Z299" s="89">
        <v>45288.073275462964</v>
      </c>
      <c r="AA299" s="89">
        <v>45288.073275462964</v>
      </c>
      <c r="AB299" s="82"/>
      <c r="AC299" s="82"/>
      <c r="AD299" s="85" t="s">
        <v>2423</v>
      </c>
      <c r="AE299" s="84" t="str">
        <f>REPLACE(INDEX(GroupVertices[Group],MATCH("~"&amp;Edges[[#This Row],[Vertex 1]],GroupVertices[Vertex],0)),1,1,"")</f>
        <v>1</v>
      </c>
      <c r="AF299" s="84" t="str">
        <f>REPLACE(INDEX(GroupVertices[Group],MATCH("~"&amp;Edges[[#This Row],[Vertex 2]],GroupVertices[Vertex],0)),1,1,"")</f>
        <v>1</v>
      </c>
    </row>
    <row r="300" spans="1:32" ht="15">
      <c r="A300" s="66" t="s">
        <v>484</v>
      </c>
      <c r="B300" s="66" t="s">
        <v>907</v>
      </c>
      <c r="C300" s="67"/>
      <c r="D300" s="68"/>
      <c r="E300" s="69"/>
      <c r="F300" s="70"/>
      <c r="G300" s="67"/>
      <c r="H300" s="71"/>
      <c r="I300" s="72"/>
      <c r="J300" s="72"/>
      <c r="K300" s="35"/>
      <c r="L300" s="80">
        <v>300</v>
      </c>
      <c r="M300" s="80"/>
      <c r="N300" s="74"/>
      <c r="O300" s="82" t="s">
        <v>909</v>
      </c>
      <c r="P300" s="82" t="s">
        <v>197</v>
      </c>
      <c r="Q300" s="85" t="s">
        <v>1206</v>
      </c>
      <c r="R300" s="82" t="s">
        <v>484</v>
      </c>
      <c r="S300" s="82" t="s">
        <v>1950</v>
      </c>
      <c r="T300" s="87" t="str">
        <f>HYPERLINK("http://www.youtube.com/channel/UCCbmzO8LA8erJ2y5alw2v7w")</f>
        <v>http://www.youtube.com/channel/UCCbmzO8LA8erJ2y5alw2v7w</v>
      </c>
      <c r="U300" s="82"/>
      <c r="V300" s="82" t="s">
        <v>2370</v>
      </c>
      <c r="W300" s="87" t="str">
        <f t="shared" si="12"/>
        <v>https://www.youtube.com/watch?v=yBF2fGUO5cQ</v>
      </c>
      <c r="X300" s="82" t="s">
        <v>2384</v>
      </c>
      <c r="Y300" s="82">
        <v>0</v>
      </c>
      <c r="Z300" s="89">
        <v>45288.089421296296</v>
      </c>
      <c r="AA300" s="89">
        <v>45288.089421296296</v>
      </c>
      <c r="AB300" s="82" t="s">
        <v>2398</v>
      </c>
      <c r="AC300" s="82" t="s">
        <v>2418</v>
      </c>
      <c r="AD300" s="85" t="s">
        <v>2423</v>
      </c>
      <c r="AE300" s="84" t="str">
        <f>REPLACE(INDEX(GroupVertices[Group],MATCH("~"&amp;Edges[[#This Row],[Vertex 1]],GroupVertices[Vertex],0)),1,1,"")</f>
        <v>1</v>
      </c>
      <c r="AF300" s="84" t="str">
        <f>REPLACE(INDEX(GroupVertices[Group],MATCH("~"&amp;Edges[[#This Row],[Vertex 2]],GroupVertices[Vertex],0)),1,1,"")</f>
        <v>1</v>
      </c>
    </row>
    <row r="301" spans="1:32" ht="15">
      <c r="A301" s="66" t="s">
        <v>485</v>
      </c>
      <c r="B301" s="66" t="s">
        <v>907</v>
      </c>
      <c r="C301" s="67"/>
      <c r="D301" s="68"/>
      <c r="E301" s="69"/>
      <c r="F301" s="70"/>
      <c r="G301" s="67"/>
      <c r="H301" s="71"/>
      <c r="I301" s="72"/>
      <c r="J301" s="72"/>
      <c r="K301" s="35"/>
      <c r="L301" s="80">
        <v>301</v>
      </c>
      <c r="M301" s="80"/>
      <c r="N301" s="74"/>
      <c r="O301" s="82" t="s">
        <v>909</v>
      </c>
      <c r="P301" s="82" t="s">
        <v>197</v>
      </c>
      <c r="Q301" s="85" t="s">
        <v>1207</v>
      </c>
      <c r="R301" s="82" t="s">
        <v>485</v>
      </c>
      <c r="S301" s="82" t="s">
        <v>1951</v>
      </c>
      <c r="T301" s="87" t="str">
        <f>HYPERLINK("http://www.youtube.com/channel/UCloStMCyhM7LPabUMkbFyzg")</f>
        <v>http://www.youtube.com/channel/UCloStMCyhM7LPabUMkbFyzg</v>
      </c>
      <c r="U301" s="82"/>
      <c r="V301" s="82" t="s">
        <v>2370</v>
      </c>
      <c r="W301" s="87" t="str">
        <f t="shared" si="12"/>
        <v>https://www.youtube.com/watch?v=yBF2fGUO5cQ</v>
      </c>
      <c r="X301" s="82" t="s">
        <v>2384</v>
      </c>
      <c r="Y301" s="82">
        <v>2</v>
      </c>
      <c r="Z301" s="89">
        <v>45288.171122685184</v>
      </c>
      <c r="AA301" s="89">
        <v>45288.171122685184</v>
      </c>
      <c r="AB301" s="82"/>
      <c r="AC301" s="82"/>
      <c r="AD301" s="85" t="s">
        <v>2423</v>
      </c>
      <c r="AE301" s="84" t="str">
        <f>REPLACE(INDEX(GroupVertices[Group],MATCH("~"&amp;Edges[[#This Row],[Vertex 1]],GroupVertices[Vertex],0)),1,1,"")</f>
        <v>1</v>
      </c>
      <c r="AF301" s="84" t="str">
        <f>REPLACE(INDEX(GroupVertices[Group],MATCH("~"&amp;Edges[[#This Row],[Vertex 2]],GroupVertices[Vertex],0)),1,1,"")</f>
        <v>1</v>
      </c>
    </row>
    <row r="302" spans="1:32" ht="15">
      <c r="A302" s="66" t="s">
        <v>486</v>
      </c>
      <c r="B302" s="66" t="s">
        <v>907</v>
      </c>
      <c r="C302" s="67"/>
      <c r="D302" s="68"/>
      <c r="E302" s="69"/>
      <c r="F302" s="70"/>
      <c r="G302" s="67"/>
      <c r="H302" s="71"/>
      <c r="I302" s="72"/>
      <c r="J302" s="72"/>
      <c r="K302" s="35"/>
      <c r="L302" s="80">
        <v>302</v>
      </c>
      <c r="M302" s="80"/>
      <c r="N302" s="74"/>
      <c r="O302" s="82" t="s">
        <v>909</v>
      </c>
      <c r="P302" s="82" t="s">
        <v>197</v>
      </c>
      <c r="Q302" s="85" t="s">
        <v>1208</v>
      </c>
      <c r="R302" s="82" t="s">
        <v>486</v>
      </c>
      <c r="S302" s="82" t="s">
        <v>1952</v>
      </c>
      <c r="T302" s="87" t="str">
        <f>HYPERLINK("http://www.youtube.com/channel/UCIHQQ1mJkGjPNxCzuz_lfaw")</f>
        <v>http://www.youtube.com/channel/UCIHQQ1mJkGjPNxCzuz_lfaw</v>
      </c>
      <c r="U302" s="82"/>
      <c r="V302" s="82" t="s">
        <v>2370</v>
      </c>
      <c r="W302" s="87" t="str">
        <f t="shared" si="12"/>
        <v>https://www.youtube.com/watch?v=yBF2fGUO5cQ</v>
      </c>
      <c r="X302" s="82" t="s">
        <v>2384</v>
      </c>
      <c r="Y302" s="82">
        <v>0</v>
      </c>
      <c r="Z302" s="89">
        <v>45288.190034722225</v>
      </c>
      <c r="AA302" s="89">
        <v>45288.190034722225</v>
      </c>
      <c r="AB302" s="82"/>
      <c r="AC302" s="82"/>
      <c r="AD302" s="85" t="s">
        <v>2423</v>
      </c>
      <c r="AE302" s="84" t="str">
        <f>REPLACE(INDEX(GroupVertices[Group],MATCH("~"&amp;Edges[[#This Row],[Vertex 1]],GroupVertices[Vertex],0)),1,1,"")</f>
        <v>1</v>
      </c>
      <c r="AF302" s="84" t="str">
        <f>REPLACE(INDEX(GroupVertices[Group],MATCH("~"&amp;Edges[[#This Row],[Vertex 2]],GroupVertices[Vertex],0)),1,1,"")</f>
        <v>1</v>
      </c>
    </row>
    <row r="303" spans="1:32" ht="15">
      <c r="A303" s="66" t="s">
        <v>487</v>
      </c>
      <c r="B303" s="66" t="s">
        <v>907</v>
      </c>
      <c r="C303" s="67"/>
      <c r="D303" s="68"/>
      <c r="E303" s="69"/>
      <c r="F303" s="70"/>
      <c r="G303" s="67"/>
      <c r="H303" s="71"/>
      <c r="I303" s="72"/>
      <c r="J303" s="72"/>
      <c r="K303" s="35"/>
      <c r="L303" s="80">
        <v>303</v>
      </c>
      <c r="M303" s="80"/>
      <c r="N303" s="74"/>
      <c r="O303" s="82" t="s">
        <v>909</v>
      </c>
      <c r="P303" s="82" t="s">
        <v>197</v>
      </c>
      <c r="Q303" s="85" t="s">
        <v>1209</v>
      </c>
      <c r="R303" s="82" t="s">
        <v>487</v>
      </c>
      <c r="S303" s="82" t="s">
        <v>1953</v>
      </c>
      <c r="T303" s="87" t="str">
        <f>HYPERLINK("http://www.youtube.com/channel/UCqNxfdWj9vsQdR6jtQAfWxA")</f>
        <v>http://www.youtube.com/channel/UCqNxfdWj9vsQdR6jtQAfWxA</v>
      </c>
      <c r="U303" s="82"/>
      <c r="V303" s="82" t="s">
        <v>2370</v>
      </c>
      <c r="W303" s="87" t="str">
        <f t="shared" si="12"/>
        <v>https://www.youtube.com/watch?v=yBF2fGUO5cQ</v>
      </c>
      <c r="X303" s="82" t="s">
        <v>2384</v>
      </c>
      <c r="Y303" s="82">
        <v>0</v>
      </c>
      <c r="Z303" s="89">
        <v>45288.24957175926</v>
      </c>
      <c r="AA303" s="89">
        <v>45288.24957175926</v>
      </c>
      <c r="AB303" s="82"/>
      <c r="AC303" s="82"/>
      <c r="AD303" s="85" t="s">
        <v>2423</v>
      </c>
      <c r="AE303" s="84" t="str">
        <f>REPLACE(INDEX(GroupVertices[Group],MATCH("~"&amp;Edges[[#This Row],[Vertex 1]],GroupVertices[Vertex],0)),1,1,"")</f>
        <v>1</v>
      </c>
      <c r="AF303" s="84" t="str">
        <f>REPLACE(INDEX(GroupVertices[Group],MATCH("~"&amp;Edges[[#This Row],[Vertex 2]],GroupVertices[Vertex],0)),1,1,"")</f>
        <v>1</v>
      </c>
    </row>
    <row r="304" spans="1:32" ht="15">
      <c r="A304" s="66" t="s">
        <v>488</v>
      </c>
      <c r="B304" s="66" t="s">
        <v>907</v>
      </c>
      <c r="C304" s="67"/>
      <c r="D304" s="68"/>
      <c r="E304" s="69"/>
      <c r="F304" s="70"/>
      <c r="G304" s="67"/>
      <c r="H304" s="71"/>
      <c r="I304" s="72"/>
      <c r="J304" s="72"/>
      <c r="K304" s="35"/>
      <c r="L304" s="80">
        <v>304</v>
      </c>
      <c r="M304" s="80"/>
      <c r="N304" s="74"/>
      <c r="O304" s="82" t="s">
        <v>909</v>
      </c>
      <c r="P304" s="82" t="s">
        <v>197</v>
      </c>
      <c r="Q304" s="85" t="s">
        <v>1210</v>
      </c>
      <c r="R304" s="82" t="s">
        <v>488</v>
      </c>
      <c r="S304" s="82" t="s">
        <v>1954</v>
      </c>
      <c r="T304" s="87" t="str">
        <f>HYPERLINK("http://www.youtube.com/channel/UC6scaA6PhjYvUhmVfrERSoQ")</f>
        <v>http://www.youtube.com/channel/UC6scaA6PhjYvUhmVfrERSoQ</v>
      </c>
      <c r="U304" s="82"/>
      <c r="V304" s="82" t="s">
        <v>2370</v>
      </c>
      <c r="W304" s="87" t="str">
        <f t="shared" si="12"/>
        <v>https://www.youtube.com/watch?v=yBF2fGUO5cQ</v>
      </c>
      <c r="X304" s="82" t="s">
        <v>2384</v>
      </c>
      <c r="Y304" s="82">
        <v>2</v>
      </c>
      <c r="Z304" s="89">
        <v>45288.280127314814</v>
      </c>
      <c r="AA304" s="89">
        <v>45288.280127314814</v>
      </c>
      <c r="AB304" s="82"/>
      <c r="AC304" s="82"/>
      <c r="AD304" s="85" t="s">
        <v>2423</v>
      </c>
      <c r="AE304" s="84" t="str">
        <f>REPLACE(INDEX(GroupVertices[Group],MATCH("~"&amp;Edges[[#This Row],[Vertex 1]],GroupVertices[Vertex],0)),1,1,"")</f>
        <v>1</v>
      </c>
      <c r="AF304" s="84" t="str">
        <f>REPLACE(INDEX(GroupVertices[Group],MATCH("~"&amp;Edges[[#This Row],[Vertex 2]],GroupVertices[Vertex],0)),1,1,"")</f>
        <v>1</v>
      </c>
    </row>
    <row r="305" spans="1:32" ht="15">
      <c r="A305" s="66" t="s">
        <v>489</v>
      </c>
      <c r="B305" s="66" t="s">
        <v>907</v>
      </c>
      <c r="C305" s="67"/>
      <c r="D305" s="68"/>
      <c r="E305" s="69"/>
      <c r="F305" s="70"/>
      <c r="G305" s="67"/>
      <c r="H305" s="71"/>
      <c r="I305" s="72"/>
      <c r="J305" s="72"/>
      <c r="K305" s="35"/>
      <c r="L305" s="80">
        <v>305</v>
      </c>
      <c r="M305" s="80"/>
      <c r="N305" s="74"/>
      <c r="O305" s="82" t="s">
        <v>909</v>
      </c>
      <c r="P305" s="82" t="s">
        <v>197</v>
      </c>
      <c r="Q305" s="85" t="s">
        <v>1211</v>
      </c>
      <c r="R305" s="82" t="s">
        <v>489</v>
      </c>
      <c r="S305" s="82" t="s">
        <v>1955</v>
      </c>
      <c r="T305" s="87" t="str">
        <f>HYPERLINK("http://www.youtube.com/channel/UC-9WhfcUUrndVvCzSDgdU6Q")</f>
        <v>http://www.youtube.com/channel/UC-9WhfcUUrndVvCzSDgdU6Q</v>
      </c>
      <c r="U305" s="82"/>
      <c r="V305" s="82" t="s">
        <v>2370</v>
      </c>
      <c r="W305" s="87" t="str">
        <f t="shared" si="12"/>
        <v>https://www.youtube.com/watch?v=yBF2fGUO5cQ</v>
      </c>
      <c r="X305" s="82" t="s">
        <v>2384</v>
      </c>
      <c r="Y305" s="82">
        <v>1</v>
      </c>
      <c r="Z305" s="89">
        <v>45288.46876157408</v>
      </c>
      <c r="AA305" s="89">
        <v>45288.46876157408</v>
      </c>
      <c r="AB305" s="82"/>
      <c r="AC305" s="82"/>
      <c r="AD305" s="85" t="s">
        <v>2423</v>
      </c>
      <c r="AE305" s="84" t="str">
        <f>REPLACE(INDEX(GroupVertices[Group],MATCH("~"&amp;Edges[[#This Row],[Vertex 1]],GroupVertices[Vertex],0)),1,1,"")</f>
        <v>1</v>
      </c>
      <c r="AF305" s="84" t="str">
        <f>REPLACE(INDEX(GroupVertices[Group],MATCH("~"&amp;Edges[[#This Row],[Vertex 2]],GroupVertices[Vertex],0)),1,1,"")</f>
        <v>1</v>
      </c>
    </row>
    <row r="306" spans="1:32" ht="15">
      <c r="A306" s="66" t="s">
        <v>490</v>
      </c>
      <c r="B306" s="66" t="s">
        <v>907</v>
      </c>
      <c r="C306" s="67"/>
      <c r="D306" s="68"/>
      <c r="E306" s="69"/>
      <c r="F306" s="70"/>
      <c r="G306" s="67"/>
      <c r="H306" s="71"/>
      <c r="I306" s="72"/>
      <c r="J306" s="72"/>
      <c r="K306" s="35"/>
      <c r="L306" s="80">
        <v>306</v>
      </c>
      <c r="M306" s="80"/>
      <c r="N306" s="74"/>
      <c r="O306" s="82" t="s">
        <v>909</v>
      </c>
      <c r="P306" s="82" t="s">
        <v>197</v>
      </c>
      <c r="Q306" s="85" t="s">
        <v>1212</v>
      </c>
      <c r="R306" s="82" t="s">
        <v>490</v>
      </c>
      <c r="S306" s="82" t="s">
        <v>1956</v>
      </c>
      <c r="T306" s="87" t="str">
        <f>HYPERLINK("http://www.youtube.com/channel/UCW3wZi8CmM3qXkwF8Eqjr3Q")</f>
        <v>http://www.youtube.com/channel/UCW3wZi8CmM3qXkwF8Eqjr3Q</v>
      </c>
      <c r="U306" s="82"/>
      <c r="V306" s="82" t="s">
        <v>2370</v>
      </c>
      <c r="W306" s="87" t="str">
        <f t="shared" si="12"/>
        <v>https://www.youtube.com/watch?v=yBF2fGUO5cQ</v>
      </c>
      <c r="X306" s="82" t="s">
        <v>2384</v>
      </c>
      <c r="Y306" s="82">
        <v>0</v>
      </c>
      <c r="Z306" s="89">
        <v>45288.570763888885</v>
      </c>
      <c r="AA306" s="89">
        <v>45288.570763888885</v>
      </c>
      <c r="AB306" s="82"/>
      <c r="AC306" s="82"/>
      <c r="AD306" s="85" t="s">
        <v>2423</v>
      </c>
      <c r="AE306" s="84" t="str">
        <f>REPLACE(INDEX(GroupVertices[Group],MATCH("~"&amp;Edges[[#This Row],[Vertex 1]],GroupVertices[Vertex],0)),1,1,"")</f>
        <v>1</v>
      </c>
      <c r="AF306" s="84" t="str">
        <f>REPLACE(INDEX(GroupVertices[Group],MATCH("~"&amp;Edges[[#This Row],[Vertex 2]],GroupVertices[Vertex],0)),1,1,"")</f>
        <v>1</v>
      </c>
    </row>
    <row r="307" spans="1:32" ht="15">
      <c r="A307" s="66" t="s">
        <v>491</v>
      </c>
      <c r="B307" s="66" t="s">
        <v>907</v>
      </c>
      <c r="C307" s="67"/>
      <c r="D307" s="68"/>
      <c r="E307" s="69"/>
      <c r="F307" s="70"/>
      <c r="G307" s="67"/>
      <c r="H307" s="71"/>
      <c r="I307" s="72"/>
      <c r="J307" s="72"/>
      <c r="K307" s="35"/>
      <c r="L307" s="80">
        <v>307</v>
      </c>
      <c r="M307" s="80"/>
      <c r="N307" s="74"/>
      <c r="O307" s="82" t="s">
        <v>909</v>
      </c>
      <c r="P307" s="82" t="s">
        <v>197</v>
      </c>
      <c r="Q307" s="85" t="s">
        <v>1213</v>
      </c>
      <c r="R307" s="82" t="s">
        <v>491</v>
      </c>
      <c r="S307" s="82" t="s">
        <v>1957</v>
      </c>
      <c r="T307" s="87" t="str">
        <f>HYPERLINK("http://www.youtube.com/channel/UCO_5KC0CFCpCYgBPjDL0-RQ")</f>
        <v>http://www.youtube.com/channel/UCO_5KC0CFCpCYgBPjDL0-RQ</v>
      </c>
      <c r="U307" s="82"/>
      <c r="V307" s="82" t="s">
        <v>2370</v>
      </c>
      <c r="W307" s="87" t="str">
        <f t="shared" si="12"/>
        <v>https://www.youtube.com/watch?v=yBF2fGUO5cQ</v>
      </c>
      <c r="X307" s="82" t="s">
        <v>2384</v>
      </c>
      <c r="Y307" s="82">
        <v>0</v>
      </c>
      <c r="Z307" s="89">
        <v>45288.864594907405</v>
      </c>
      <c r="AA307" s="89">
        <v>45288.864594907405</v>
      </c>
      <c r="AB307" s="82"/>
      <c r="AC307" s="82"/>
      <c r="AD307" s="85" t="s">
        <v>2423</v>
      </c>
      <c r="AE307" s="84" t="str">
        <f>REPLACE(INDEX(GroupVertices[Group],MATCH("~"&amp;Edges[[#This Row],[Vertex 1]],GroupVertices[Vertex],0)),1,1,"")</f>
        <v>1</v>
      </c>
      <c r="AF307" s="84" t="str">
        <f>REPLACE(INDEX(GroupVertices[Group],MATCH("~"&amp;Edges[[#This Row],[Vertex 2]],GroupVertices[Vertex],0)),1,1,"")</f>
        <v>1</v>
      </c>
    </row>
    <row r="308" spans="1:32" ht="15">
      <c r="A308" s="66" t="s">
        <v>492</v>
      </c>
      <c r="B308" s="66" t="s">
        <v>907</v>
      </c>
      <c r="C308" s="67"/>
      <c r="D308" s="68"/>
      <c r="E308" s="69"/>
      <c r="F308" s="70"/>
      <c r="G308" s="67"/>
      <c r="H308" s="71"/>
      <c r="I308" s="72"/>
      <c r="J308" s="72"/>
      <c r="K308" s="35"/>
      <c r="L308" s="80">
        <v>308</v>
      </c>
      <c r="M308" s="80"/>
      <c r="N308" s="74"/>
      <c r="O308" s="82" t="s">
        <v>909</v>
      </c>
      <c r="P308" s="82" t="s">
        <v>197</v>
      </c>
      <c r="Q308" s="85" t="s">
        <v>1214</v>
      </c>
      <c r="R308" s="82" t="s">
        <v>492</v>
      </c>
      <c r="S308" s="82" t="s">
        <v>1958</v>
      </c>
      <c r="T308" s="87" t="str">
        <f>HYPERLINK("http://www.youtube.com/channel/UCp15ovkKNE3SI-u7Bsxd8nw")</f>
        <v>http://www.youtube.com/channel/UCp15ovkKNE3SI-u7Bsxd8nw</v>
      </c>
      <c r="U308" s="82"/>
      <c r="V308" s="82" t="s">
        <v>2370</v>
      </c>
      <c r="W308" s="87" t="str">
        <f t="shared" si="12"/>
        <v>https://www.youtube.com/watch?v=yBF2fGUO5cQ</v>
      </c>
      <c r="X308" s="82" t="s">
        <v>2384</v>
      </c>
      <c r="Y308" s="82">
        <v>0</v>
      </c>
      <c r="Z308" s="89">
        <v>45288.880833333336</v>
      </c>
      <c r="AA308" s="89">
        <v>45288.880833333336</v>
      </c>
      <c r="AB308" s="82"/>
      <c r="AC308" s="82"/>
      <c r="AD308" s="85" t="s">
        <v>2423</v>
      </c>
      <c r="AE308" s="84" t="str">
        <f>REPLACE(INDEX(GroupVertices[Group],MATCH("~"&amp;Edges[[#This Row],[Vertex 1]],GroupVertices[Vertex],0)),1,1,"")</f>
        <v>1</v>
      </c>
      <c r="AF308" s="84" t="str">
        <f>REPLACE(INDEX(GroupVertices[Group],MATCH("~"&amp;Edges[[#This Row],[Vertex 2]],GroupVertices[Vertex],0)),1,1,"")</f>
        <v>1</v>
      </c>
    </row>
    <row r="309" spans="1:32" ht="15">
      <c r="A309" s="66" t="s">
        <v>493</v>
      </c>
      <c r="B309" s="66" t="s">
        <v>907</v>
      </c>
      <c r="C309" s="67"/>
      <c r="D309" s="68"/>
      <c r="E309" s="69"/>
      <c r="F309" s="70"/>
      <c r="G309" s="67"/>
      <c r="H309" s="71"/>
      <c r="I309" s="72"/>
      <c r="J309" s="72"/>
      <c r="K309" s="35"/>
      <c r="L309" s="80">
        <v>309</v>
      </c>
      <c r="M309" s="80"/>
      <c r="N309" s="74"/>
      <c r="O309" s="82" t="s">
        <v>909</v>
      </c>
      <c r="P309" s="82" t="s">
        <v>197</v>
      </c>
      <c r="Q309" s="85" t="s">
        <v>1215</v>
      </c>
      <c r="R309" s="82" t="s">
        <v>493</v>
      </c>
      <c r="S309" s="82" t="s">
        <v>1959</v>
      </c>
      <c r="T309" s="87" t="str">
        <f>HYPERLINK("http://www.youtube.com/channel/UCbAonIVhWWX7rrV5fFpvabQ")</f>
        <v>http://www.youtube.com/channel/UCbAonIVhWWX7rrV5fFpvabQ</v>
      </c>
      <c r="U309" s="82"/>
      <c r="V309" s="82" t="s">
        <v>2370</v>
      </c>
      <c r="W309" s="87" t="str">
        <f t="shared" si="12"/>
        <v>https://www.youtube.com/watch?v=yBF2fGUO5cQ</v>
      </c>
      <c r="X309" s="82" t="s">
        <v>2384</v>
      </c>
      <c r="Y309" s="82">
        <v>2</v>
      </c>
      <c r="Z309" s="89">
        <v>45288.9240162037</v>
      </c>
      <c r="AA309" s="89">
        <v>45288.9240162037</v>
      </c>
      <c r="AB309" s="82"/>
      <c r="AC309" s="82"/>
      <c r="AD309" s="85" t="s">
        <v>2423</v>
      </c>
      <c r="AE309" s="84" t="str">
        <f>REPLACE(INDEX(GroupVertices[Group],MATCH("~"&amp;Edges[[#This Row],[Vertex 1]],GroupVertices[Vertex],0)),1,1,"")</f>
        <v>1</v>
      </c>
      <c r="AF309" s="84" t="str">
        <f>REPLACE(INDEX(GroupVertices[Group],MATCH("~"&amp;Edges[[#This Row],[Vertex 2]],GroupVertices[Vertex],0)),1,1,"")</f>
        <v>1</v>
      </c>
    </row>
    <row r="310" spans="1:32" ht="15">
      <c r="A310" s="66" t="s">
        <v>494</v>
      </c>
      <c r="B310" s="66" t="s">
        <v>899</v>
      </c>
      <c r="C310" s="67"/>
      <c r="D310" s="68"/>
      <c r="E310" s="69"/>
      <c r="F310" s="70"/>
      <c r="G310" s="67"/>
      <c r="H310" s="71"/>
      <c r="I310" s="72"/>
      <c r="J310" s="72"/>
      <c r="K310" s="35"/>
      <c r="L310" s="80">
        <v>310</v>
      </c>
      <c r="M310" s="80"/>
      <c r="N310" s="74"/>
      <c r="O310" s="82" t="s">
        <v>909</v>
      </c>
      <c r="P310" s="82" t="s">
        <v>197</v>
      </c>
      <c r="Q310" s="85" t="s">
        <v>1216</v>
      </c>
      <c r="R310" s="82" t="s">
        <v>494</v>
      </c>
      <c r="S310" s="82" t="s">
        <v>1960</v>
      </c>
      <c r="T310" s="87" t="str">
        <f>HYPERLINK("http://www.youtube.com/channel/UCXor2QHnN7CZe7YFoUIytjQ")</f>
        <v>http://www.youtube.com/channel/UCXor2QHnN7CZe7YFoUIytjQ</v>
      </c>
      <c r="U310" s="82"/>
      <c r="V310" s="82" t="s">
        <v>2366</v>
      </c>
      <c r="W310" s="87" t="str">
        <f>HYPERLINK("https://www.youtube.com/watch?v=sgOEGKDVvsg")</f>
        <v>https://www.youtube.com/watch?v=sgOEGKDVvsg</v>
      </c>
      <c r="X310" s="82" t="s">
        <v>2384</v>
      </c>
      <c r="Y310" s="82">
        <v>1</v>
      </c>
      <c r="Z310" s="89">
        <v>45202.80767361111</v>
      </c>
      <c r="AA310" s="89">
        <v>45202.80767361111</v>
      </c>
      <c r="AB310" s="82"/>
      <c r="AC310" s="82"/>
      <c r="AD310" s="85" t="s">
        <v>2423</v>
      </c>
      <c r="AE310" s="84" t="str">
        <f>REPLACE(INDEX(GroupVertices[Group],MATCH("~"&amp;Edges[[#This Row],[Vertex 1]],GroupVertices[Vertex],0)),1,1,"")</f>
        <v>7</v>
      </c>
      <c r="AF310" s="84" t="str">
        <f>REPLACE(INDEX(GroupVertices[Group],MATCH("~"&amp;Edges[[#This Row],[Vertex 2]],GroupVertices[Vertex],0)),1,1,"")</f>
        <v>7</v>
      </c>
    </row>
    <row r="311" spans="1:32" ht="15">
      <c r="A311" s="66" t="s">
        <v>494</v>
      </c>
      <c r="B311" s="66" t="s">
        <v>907</v>
      </c>
      <c r="C311" s="67"/>
      <c r="D311" s="68"/>
      <c r="E311" s="69"/>
      <c r="F311" s="70"/>
      <c r="G311" s="67"/>
      <c r="H311" s="71"/>
      <c r="I311" s="72"/>
      <c r="J311" s="72"/>
      <c r="K311" s="35"/>
      <c r="L311" s="80">
        <v>311</v>
      </c>
      <c r="M311" s="80"/>
      <c r="N311" s="74"/>
      <c r="O311" s="82" t="s">
        <v>909</v>
      </c>
      <c r="P311" s="82" t="s">
        <v>197</v>
      </c>
      <c r="Q311" s="85" t="s">
        <v>1217</v>
      </c>
      <c r="R311" s="82" t="s">
        <v>494</v>
      </c>
      <c r="S311" s="82" t="s">
        <v>1960</v>
      </c>
      <c r="T311" s="87" t="str">
        <f>HYPERLINK("http://www.youtube.com/channel/UCXor2QHnN7CZe7YFoUIytjQ")</f>
        <v>http://www.youtube.com/channel/UCXor2QHnN7CZe7YFoUIytjQ</v>
      </c>
      <c r="U311" s="82"/>
      <c r="V311" s="82" t="s">
        <v>2370</v>
      </c>
      <c r="W311" s="87" t="str">
        <f aca="true" t="shared" si="13" ref="W311:W348">HYPERLINK("https://www.youtube.com/watch?v=yBF2fGUO5cQ")</f>
        <v>https://www.youtube.com/watch?v=yBF2fGUO5cQ</v>
      </c>
      <c r="X311" s="82" t="s">
        <v>2384</v>
      </c>
      <c r="Y311" s="82">
        <v>0</v>
      </c>
      <c r="Z311" s="89">
        <v>45288.985601851855</v>
      </c>
      <c r="AA311" s="89">
        <v>45288.985601851855</v>
      </c>
      <c r="AB311" s="82"/>
      <c r="AC311" s="82"/>
      <c r="AD311" s="85" t="s">
        <v>2423</v>
      </c>
      <c r="AE311" s="84" t="str">
        <f>REPLACE(INDEX(GroupVertices[Group],MATCH("~"&amp;Edges[[#This Row],[Vertex 1]],GroupVertices[Vertex],0)),1,1,"")</f>
        <v>7</v>
      </c>
      <c r="AF311" s="84" t="str">
        <f>REPLACE(INDEX(GroupVertices[Group],MATCH("~"&amp;Edges[[#This Row],[Vertex 2]],GroupVertices[Vertex],0)),1,1,"")</f>
        <v>1</v>
      </c>
    </row>
    <row r="312" spans="1:32" ht="15">
      <c r="A312" s="66" t="s">
        <v>494</v>
      </c>
      <c r="B312" s="66" t="s">
        <v>907</v>
      </c>
      <c r="C312" s="67"/>
      <c r="D312" s="68"/>
      <c r="E312" s="69"/>
      <c r="F312" s="70"/>
      <c r="G312" s="67"/>
      <c r="H312" s="71"/>
      <c r="I312" s="72"/>
      <c r="J312" s="72"/>
      <c r="K312" s="35"/>
      <c r="L312" s="80">
        <v>312</v>
      </c>
      <c r="M312" s="80"/>
      <c r="N312" s="74"/>
      <c r="O312" s="82" t="s">
        <v>909</v>
      </c>
      <c r="P312" s="82" t="s">
        <v>197</v>
      </c>
      <c r="Q312" s="85" t="s">
        <v>1218</v>
      </c>
      <c r="R312" s="82" t="s">
        <v>494</v>
      </c>
      <c r="S312" s="82" t="s">
        <v>1960</v>
      </c>
      <c r="T312" s="87" t="str">
        <f>HYPERLINK("http://www.youtube.com/channel/UCXor2QHnN7CZe7YFoUIytjQ")</f>
        <v>http://www.youtube.com/channel/UCXor2QHnN7CZe7YFoUIytjQ</v>
      </c>
      <c r="U312" s="82"/>
      <c r="V312" s="82" t="s">
        <v>2370</v>
      </c>
      <c r="W312" s="87" t="str">
        <f t="shared" si="13"/>
        <v>https://www.youtube.com/watch?v=yBF2fGUO5cQ</v>
      </c>
      <c r="X312" s="82" t="s">
        <v>2384</v>
      </c>
      <c r="Y312" s="82">
        <v>3</v>
      </c>
      <c r="Z312" s="89">
        <v>45288.98956018518</v>
      </c>
      <c r="AA312" s="89">
        <v>45288.98956018518</v>
      </c>
      <c r="AB312" s="82"/>
      <c r="AC312" s="82"/>
      <c r="AD312" s="85" t="s">
        <v>2423</v>
      </c>
      <c r="AE312" s="84" t="str">
        <f>REPLACE(INDEX(GroupVertices[Group],MATCH("~"&amp;Edges[[#This Row],[Vertex 1]],GroupVertices[Vertex],0)),1,1,"")</f>
        <v>7</v>
      </c>
      <c r="AF312" s="84" t="str">
        <f>REPLACE(INDEX(GroupVertices[Group],MATCH("~"&amp;Edges[[#This Row],[Vertex 2]],GroupVertices[Vertex],0)),1,1,"")</f>
        <v>1</v>
      </c>
    </row>
    <row r="313" spans="1:32" ht="15">
      <c r="A313" s="66" t="s">
        <v>495</v>
      </c>
      <c r="B313" s="66" t="s">
        <v>907</v>
      </c>
      <c r="C313" s="67"/>
      <c r="D313" s="68"/>
      <c r="E313" s="69"/>
      <c r="F313" s="70"/>
      <c r="G313" s="67"/>
      <c r="H313" s="71"/>
      <c r="I313" s="72"/>
      <c r="J313" s="72"/>
      <c r="K313" s="35"/>
      <c r="L313" s="80">
        <v>313</v>
      </c>
      <c r="M313" s="80"/>
      <c r="N313" s="74"/>
      <c r="O313" s="82" t="s">
        <v>909</v>
      </c>
      <c r="P313" s="82" t="s">
        <v>197</v>
      </c>
      <c r="Q313" s="85" t="s">
        <v>1219</v>
      </c>
      <c r="R313" s="82" t="s">
        <v>495</v>
      </c>
      <c r="S313" s="82" t="s">
        <v>1961</v>
      </c>
      <c r="T313" s="87" t="str">
        <f>HYPERLINK("http://www.youtube.com/channel/UCMNn4karKPX5DeBfW1vxcNQ")</f>
        <v>http://www.youtube.com/channel/UCMNn4karKPX5DeBfW1vxcNQ</v>
      </c>
      <c r="U313" s="82"/>
      <c r="V313" s="82" t="s">
        <v>2370</v>
      </c>
      <c r="W313" s="87" t="str">
        <f t="shared" si="13"/>
        <v>https://www.youtube.com/watch?v=yBF2fGUO5cQ</v>
      </c>
      <c r="X313" s="82" t="s">
        <v>2384</v>
      </c>
      <c r="Y313" s="82">
        <v>0</v>
      </c>
      <c r="Z313" s="89">
        <v>45288.997511574074</v>
      </c>
      <c r="AA313" s="89">
        <v>45288.997511574074</v>
      </c>
      <c r="AB313" s="82"/>
      <c r="AC313" s="82"/>
      <c r="AD313" s="85" t="s">
        <v>2423</v>
      </c>
      <c r="AE313" s="84" t="str">
        <f>REPLACE(INDEX(GroupVertices[Group],MATCH("~"&amp;Edges[[#This Row],[Vertex 1]],GroupVertices[Vertex],0)),1,1,"")</f>
        <v>1</v>
      </c>
      <c r="AF313" s="84" t="str">
        <f>REPLACE(INDEX(GroupVertices[Group],MATCH("~"&amp;Edges[[#This Row],[Vertex 2]],GroupVertices[Vertex],0)),1,1,"")</f>
        <v>1</v>
      </c>
    </row>
    <row r="314" spans="1:32" ht="15">
      <c r="A314" s="66" t="s">
        <v>496</v>
      </c>
      <c r="B314" s="66" t="s">
        <v>907</v>
      </c>
      <c r="C314" s="67"/>
      <c r="D314" s="68"/>
      <c r="E314" s="69"/>
      <c r="F314" s="70"/>
      <c r="G314" s="67"/>
      <c r="H314" s="71"/>
      <c r="I314" s="72"/>
      <c r="J314" s="72"/>
      <c r="K314" s="35"/>
      <c r="L314" s="80">
        <v>314</v>
      </c>
      <c r="M314" s="80"/>
      <c r="N314" s="74"/>
      <c r="O314" s="82" t="s">
        <v>909</v>
      </c>
      <c r="P314" s="82" t="s">
        <v>197</v>
      </c>
      <c r="Q314" s="85" t="s">
        <v>1220</v>
      </c>
      <c r="R314" s="82" t="s">
        <v>496</v>
      </c>
      <c r="S314" s="82" t="s">
        <v>1962</v>
      </c>
      <c r="T314" s="87" t="str">
        <f>HYPERLINK("http://www.youtube.com/channel/UCjY7W-5Cu6D_XoZzb9kqzag")</f>
        <v>http://www.youtube.com/channel/UCjY7W-5Cu6D_XoZzb9kqzag</v>
      </c>
      <c r="U314" s="82"/>
      <c r="V314" s="82" t="s">
        <v>2370</v>
      </c>
      <c r="W314" s="87" t="str">
        <f t="shared" si="13"/>
        <v>https://www.youtube.com/watch?v=yBF2fGUO5cQ</v>
      </c>
      <c r="X314" s="82" t="s">
        <v>2384</v>
      </c>
      <c r="Y314" s="82">
        <v>0</v>
      </c>
      <c r="Z314" s="89">
        <v>45289.029861111114</v>
      </c>
      <c r="AA314" s="89">
        <v>45289.029861111114</v>
      </c>
      <c r="AB314" s="82"/>
      <c r="AC314" s="82"/>
      <c r="AD314" s="85" t="s">
        <v>2423</v>
      </c>
      <c r="AE314" s="84" t="str">
        <f>REPLACE(INDEX(GroupVertices[Group],MATCH("~"&amp;Edges[[#This Row],[Vertex 1]],GroupVertices[Vertex],0)),1,1,"")</f>
        <v>1</v>
      </c>
      <c r="AF314" s="84" t="str">
        <f>REPLACE(INDEX(GroupVertices[Group],MATCH("~"&amp;Edges[[#This Row],[Vertex 2]],GroupVertices[Vertex],0)),1,1,"")</f>
        <v>1</v>
      </c>
    </row>
    <row r="315" spans="1:32" ht="15">
      <c r="A315" s="66" t="s">
        <v>497</v>
      </c>
      <c r="B315" s="66" t="s">
        <v>907</v>
      </c>
      <c r="C315" s="67"/>
      <c r="D315" s="68"/>
      <c r="E315" s="69"/>
      <c r="F315" s="70"/>
      <c r="G315" s="67"/>
      <c r="H315" s="71"/>
      <c r="I315" s="72"/>
      <c r="J315" s="72"/>
      <c r="K315" s="35"/>
      <c r="L315" s="80">
        <v>315</v>
      </c>
      <c r="M315" s="80"/>
      <c r="N315" s="74"/>
      <c r="O315" s="82" t="s">
        <v>909</v>
      </c>
      <c r="P315" s="82" t="s">
        <v>197</v>
      </c>
      <c r="Q315" s="85" t="s">
        <v>1221</v>
      </c>
      <c r="R315" s="82" t="s">
        <v>497</v>
      </c>
      <c r="S315" s="82" t="s">
        <v>1963</v>
      </c>
      <c r="T315" s="87" t="str">
        <f>HYPERLINK("http://www.youtube.com/channel/UCsCIR-vVowQXgCCPUsJiIGw")</f>
        <v>http://www.youtube.com/channel/UCsCIR-vVowQXgCCPUsJiIGw</v>
      </c>
      <c r="U315" s="82"/>
      <c r="V315" s="82" t="s">
        <v>2370</v>
      </c>
      <c r="W315" s="87" t="str">
        <f t="shared" si="13"/>
        <v>https://www.youtube.com/watch?v=yBF2fGUO5cQ</v>
      </c>
      <c r="X315" s="82" t="s">
        <v>2384</v>
      </c>
      <c r="Y315" s="82">
        <v>0</v>
      </c>
      <c r="Z315" s="89">
        <v>45289.150613425925</v>
      </c>
      <c r="AA315" s="89">
        <v>45289.150613425925</v>
      </c>
      <c r="AB315" s="82"/>
      <c r="AC315" s="82"/>
      <c r="AD315" s="85" t="s">
        <v>2423</v>
      </c>
      <c r="AE315" s="84" t="str">
        <f>REPLACE(INDEX(GroupVertices[Group],MATCH("~"&amp;Edges[[#This Row],[Vertex 1]],GroupVertices[Vertex],0)),1,1,"")</f>
        <v>1</v>
      </c>
      <c r="AF315" s="84" t="str">
        <f>REPLACE(INDEX(GroupVertices[Group],MATCH("~"&amp;Edges[[#This Row],[Vertex 2]],GroupVertices[Vertex],0)),1,1,"")</f>
        <v>1</v>
      </c>
    </row>
    <row r="316" spans="1:32" ht="15">
      <c r="A316" s="66" t="s">
        <v>498</v>
      </c>
      <c r="B316" s="66" t="s">
        <v>907</v>
      </c>
      <c r="C316" s="67"/>
      <c r="D316" s="68"/>
      <c r="E316" s="69"/>
      <c r="F316" s="70"/>
      <c r="G316" s="67"/>
      <c r="H316" s="71"/>
      <c r="I316" s="72"/>
      <c r="J316" s="72"/>
      <c r="K316" s="35"/>
      <c r="L316" s="80">
        <v>316</v>
      </c>
      <c r="M316" s="80"/>
      <c r="N316" s="74"/>
      <c r="O316" s="82" t="s">
        <v>909</v>
      </c>
      <c r="P316" s="82" t="s">
        <v>197</v>
      </c>
      <c r="Q316" s="85" t="s">
        <v>1222</v>
      </c>
      <c r="R316" s="82" t="s">
        <v>498</v>
      </c>
      <c r="S316" s="82" t="s">
        <v>1964</v>
      </c>
      <c r="T316" s="87" t="str">
        <f>HYPERLINK("http://www.youtube.com/channel/UCkWMDdBrOlsPCtAProeCW-g")</f>
        <v>http://www.youtube.com/channel/UCkWMDdBrOlsPCtAProeCW-g</v>
      </c>
      <c r="U316" s="82"/>
      <c r="V316" s="82" t="s">
        <v>2370</v>
      </c>
      <c r="W316" s="87" t="str">
        <f t="shared" si="13"/>
        <v>https://www.youtube.com/watch?v=yBF2fGUO5cQ</v>
      </c>
      <c r="X316" s="82" t="s">
        <v>2384</v>
      </c>
      <c r="Y316" s="82">
        <v>0</v>
      </c>
      <c r="Z316" s="89">
        <v>45289.22084490741</v>
      </c>
      <c r="AA316" s="89">
        <v>45289.221770833334</v>
      </c>
      <c r="AB316" s="82"/>
      <c r="AC316" s="82"/>
      <c r="AD316" s="85" t="s">
        <v>2423</v>
      </c>
      <c r="AE316" s="84" t="str">
        <f>REPLACE(INDEX(GroupVertices[Group],MATCH("~"&amp;Edges[[#This Row],[Vertex 1]],GroupVertices[Vertex],0)),1,1,"")</f>
        <v>1</v>
      </c>
      <c r="AF316" s="84" t="str">
        <f>REPLACE(INDEX(GroupVertices[Group],MATCH("~"&amp;Edges[[#This Row],[Vertex 2]],GroupVertices[Vertex],0)),1,1,"")</f>
        <v>1</v>
      </c>
    </row>
    <row r="317" spans="1:32" ht="15">
      <c r="A317" s="66" t="s">
        <v>499</v>
      </c>
      <c r="B317" s="66" t="s">
        <v>907</v>
      </c>
      <c r="C317" s="67"/>
      <c r="D317" s="68"/>
      <c r="E317" s="69"/>
      <c r="F317" s="70"/>
      <c r="G317" s="67"/>
      <c r="H317" s="71"/>
      <c r="I317" s="72"/>
      <c r="J317" s="72"/>
      <c r="K317" s="35"/>
      <c r="L317" s="80">
        <v>317</v>
      </c>
      <c r="M317" s="80"/>
      <c r="N317" s="74"/>
      <c r="O317" s="82" t="s">
        <v>909</v>
      </c>
      <c r="P317" s="82" t="s">
        <v>197</v>
      </c>
      <c r="Q317" s="85" t="s">
        <v>1223</v>
      </c>
      <c r="R317" s="82" t="s">
        <v>499</v>
      </c>
      <c r="S317" s="82" t="s">
        <v>1965</v>
      </c>
      <c r="T317" s="87" t="str">
        <f>HYPERLINK("http://www.youtube.com/channel/UCBwDhaYnBieUF5CwDbegqlg")</f>
        <v>http://www.youtube.com/channel/UCBwDhaYnBieUF5CwDbegqlg</v>
      </c>
      <c r="U317" s="82"/>
      <c r="V317" s="82" t="s">
        <v>2370</v>
      </c>
      <c r="W317" s="87" t="str">
        <f t="shared" si="13"/>
        <v>https://www.youtube.com/watch?v=yBF2fGUO5cQ</v>
      </c>
      <c r="X317" s="82" t="s">
        <v>2384</v>
      </c>
      <c r="Y317" s="82">
        <v>0</v>
      </c>
      <c r="Z317" s="89">
        <v>45289.29829861111</v>
      </c>
      <c r="AA317" s="89">
        <v>45289.302407407406</v>
      </c>
      <c r="AB317" s="82"/>
      <c r="AC317" s="82"/>
      <c r="AD317" s="85" t="s">
        <v>2423</v>
      </c>
      <c r="AE317" s="84" t="str">
        <f>REPLACE(INDEX(GroupVertices[Group],MATCH("~"&amp;Edges[[#This Row],[Vertex 1]],GroupVertices[Vertex],0)),1,1,"")</f>
        <v>1</v>
      </c>
      <c r="AF317" s="84" t="str">
        <f>REPLACE(INDEX(GroupVertices[Group],MATCH("~"&amp;Edges[[#This Row],[Vertex 2]],GroupVertices[Vertex],0)),1,1,"")</f>
        <v>1</v>
      </c>
    </row>
    <row r="318" spans="1:32" ht="15">
      <c r="A318" s="66" t="s">
        <v>500</v>
      </c>
      <c r="B318" s="66" t="s">
        <v>907</v>
      </c>
      <c r="C318" s="67"/>
      <c r="D318" s="68"/>
      <c r="E318" s="69"/>
      <c r="F318" s="70"/>
      <c r="G318" s="67"/>
      <c r="H318" s="71"/>
      <c r="I318" s="72"/>
      <c r="J318" s="72"/>
      <c r="K318" s="35"/>
      <c r="L318" s="80">
        <v>318</v>
      </c>
      <c r="M318" s="80"/>
      <c r="N318" s="74"/>
      <c r="O318" s="82" t="s">
        <v>909</v>
      </c>
      <c r="P318" s="82" t="s">
        <v>197</v>
      </c>
      <c r="Q318" s="85" t="s">
        <v>1224</v>
      </c>
      <c r="R318" s="82" t="s">
        <v>500</v>
      </c>
      <c r="S318" s="82" t="s">
        <v>1966</v>
      </c>
      <c r="T318" s="87" t="str">
        <f>HYPERLINK("http://www.youtube.com/channel/UCgB7YJiJREv_F6AIpOJj2fA")</f>
        <v>http://www.youtube.com/channel/UCgB7YJiJREv_F6AIpOJj2fA</v>
      </c>
      <c r="U318" s="82"/>
      <c r="V318" s="82" t="s">
        <v>2370</v>
      </c>
      <c r="W318" s="87" t="str">
        <f t="shared" si="13"/>
        <v>https://www.youtube.com/watch?v=yBF2fGUO5cQ</v>
      </c>
      <c r="X318" s="82" t="s">
        <v>2384</v>
      </c>
      <c r="Y318" s="82">
        <v>0</v>
      </c>
      <c r="Z318" s="89">
        <v>45289.289085648146</v>
      </c>
      <c r="AA318" s="89">
        <v>45289.289085648146</v>
      </c>
      <c r="AB318" s="82"/>
      <c r="AC318" s="82"/>
      <c r="AD318" s="85" t="s">
        <v>2423</v>
      </c>
      <c r="AE318" s="84" t="str">
        <f>REPLACE(INDEX(GroupVertices[Group],MATCH("~"&amp;Edges[[#This Row],[Vertex 1]],GroupVertices[Vertex],0)),1,1,"")</f>
        <v>1</v>
      </c>
      <c r="AF318" s="84" t="str">
        <f>REPLACE(INDEX(GroupVertices[Group],MATCH("~"&amp;Edges[[#This Row],[Vertex 2]],GroupVertices[Vertex],0)),1,1,"")</f>
        <v>1</v>
      </c>
    </row>
    <row r="319" spans="1:32" ht="15">
      <c r="A319" s="66" t="s">
        <v>500</v>
      </c>
      <c r="B319" s="66" t="s">
        <v>907</v>
      </c>
      <c r="C319" s="67"/>
      <c r="D319" s="68"/>
      <c r="E319" s="69"/>
      <c r="F319" s="70"/>
      <c r="G319" s="67"/>
      <c r="H319" s="71"/>
      <c r="I319" s="72"/>
      <c r="J319" s="72"/>
      <c r="K319" s="35"/>
      <c r="L319" s="80">
        <v>319</v>
      </c>
      <c r="M319" s="80"/>
      <c r="N319" s="74"/>
      <c r="O319" s="82" t="s">
        <v>909</v>
      </c>
      <c r="P319" s="82" t="s">
        <v>197</v>
      </c>
      <c r="Q319" s="85" t="s">
        <v>1225</v>
      </c>
      <c r="R319" s="82" t="s">
        <v>500</v>
      </c>
      <c r="S319" s="82" t="s">
        <v>1966</v>
      </c>
      <c r="T319" s="87" t="str">
        <f>HYPERLINK("http://www.youtube.com/channel/UCgB7YJiJREv_F6AIpOJj2fA")</f>
        <v>http://www.youtube.com/channel/UCgB7YJiJREv_F6AIpOJj2fA</v>
      </c>
      <c r="U319" s="82"/>
      <c r="V319" s="82" t="s">
        <v>2370</v>
      </c>
      <c r="W319" s="87" t="str">
        <f t="shared" si="13"/>
        <v>https://www.youtube.com/watch?v=yBF2fGUO5cQ</v>
      </c>
      <c r="X319" s="82" t="s">
        <v>2384</v>
      </c>
      <c r="Y319" s="82">
        <v>0</v>
      </c>
      <c r="Z319" s="89">
        <v>45289.29282407407</v>
      </c>
      <c r="AA319" s="89">
        <v>45289.29282407407</v>
      </c>
      <c r="AB319" s="82"/>
      <c r="AC319" s="82"/>
      <c r="AD319" s="85" t="s">
        <v>2423</v>
      </c>
      <c r="AE319" s="84" t="str">
        <f>REPLACE(INDEX(GroupVertices[Group],MATCH("~"&amp;Edges[[#This Row],[Vertex 1]],GroupVertices[Vertex],0)),1,1,"")</f>
        <v>1</v>
      </c>
      <c r="AF319" s="84" t="str">
        <f>REPLACE(INDEX(GroupVertices[Group],MATCH("~"&amp;Edges[[#This Row],[Vertex 2]],GroupVertices[Vertex],0)),1,1,"")</f>
        <v>1</v>
      </c>
    </row>
    <row r="320" spans="1:32" ht="15">
      <c r="A320" s="66" t="s">
        <v>500</v>
      </c>
      <c r="B320" s="66" t="s">
        <v>907</v>
      </c>
      <c r="C320" s="67"/>
      <c r="D320" s="68"/>
      <c r="E320" s="69"/>
      <c r="F320" s="70"/>
      <c r="G320" s="67"/>
      <c r="H320" s="71"/>
      <c r="I320" s="72"/>
      <c r="J320" s="72"/>
      <c r="K320" s="35"/>
      <c r="L320" s="80">
        <v>320</v>
      </c>
      <c r="M320" s="80"/>
      <c r="N320" s="74"/>
      <c r="O320" s="82" t="s">
        <v>909</v>
      </c>
      <c r="P320" s="82" t="s">
        <v>197</v>
      </c>
      <c r="Q320" s="85" t="s">
        <v>1226</v>
      </c>
      <c r="R320" s="82" t="s">
        <v>500</v>
      </c>
      <c r="S320" s="82" t="s">
        <v>1966</v>
      </c>
      <c r="T320" s="87" t="str">
        <f>HYPERLINK("http://www.youtube.com/channel/UCgB7YJiJREv_F6AIpOJj2fA")</f>
        <v>http://www.youtube.com/channel/UCgB7YJiJREv_F6AIpOJj2fA</v>
      </c>
      <c r="U320" s="82"/>
      <c r="V320" s="82" t="s">
        <v>2370</v>
      </c>
      <c r="W320" s="87" t="str">
        <f t="shared" si="13"/>
        <v>https://www.youtube.com/watch?v=yBF2fGUO5cQ</v>
      </c>
      <c r="X320" s="82" t="s">
        <v>2384</v>
      </c>
      <c r="Y320" s="82">
        <v>0</v>
      </c>
      <c r="Z320" s="89">
        <v>45289.298854166664</v>
      </c>
      <c r="AA320" s="89">
        <v>45289.298854166664</v>
      </c>
      <c r="AB320" s="82"/>
      <c r="AC320" s="82"/>
      <c r="AD320" s="85" t="s">
        <v>2423</v>
      </c>
      <c r="AE320" s="84" t="str">
        <f>REPLACE(INDEX(GroupVertices[Group],MATCH("~"&amp;Edges[[#This Row],[Vertex 1]],GroupVertices[Vertex],0)),1,1,"")</f>
        <v>1</v>
      </c>
      <c r="AF320" s="84" t="str">
        <f>REPLACE(INDEX(GroupVertices[Group],MATCH("~"&amp;Edges[[#This Row],[Vertex 2]],GroupVertices[Vertex],0)),1,1,"")</f>
        <v>1</v>
      </c>
    </row>
    <row r="321" spans="1:32" ht="15">
      <c r="A321" s="66" t="s">
        <v>500</v>
      </c>
      <c r="B321" s="66" t="s">
        <v>907</v>
      </c>
      <c r="C321" s="67"/>
      <c r="D321" s="68"/>
      <c r="E321" s="69"/>
      <c r="F321" s="70"/>
      <c r="G321" s="67"/>
      <c r="H321" s="71"/>
      <c r="I321" s="72"/>
      <c r="J321" s="72"/>
      <c r="K321" s="35"/>
      <c r="L321" s="80">
        <v>321</v>
      </c>
      <c r="M321" s="80"/>
      <c r="N321" s="74"/>
      <c r="O321" s="82" t="s">
        <v>909</v>
      </c>
      <c r="P321" s="82" t="s">
        <v>197</v>
      </c>
      <c r="Q321" s="85" t="s">
        <v>1227</v>
      </c>
      <c r="R321" s="82" t="s">
        <v>500</v>
      </c>
      <c r="S321" s="82" t="s">
        <v>1966</v>
      </c>
      <c r="T321" s="87" t="str">
        <f>HYPERLINK("http://www.youtube.com/channel/UCgB7YJiJREv_F6AIpOJj2fA")</f>
        <v>http://www.youtube.com/channel/UCgB7YJiJREv_F6AIpOJj2fA</v>
      </c>
      <c r="U321" s="82"/>
      <c r="V321" s="82" t="s">
        <v>2370</v>
      </c>
      <c r="W321" s="87" t="str">
        <f t="shared" si="13"/>
        <v>https://www.youtube.com/watch?v=yBF2fGUO5cQ</v>
      </c>
      <c r="X321" s="82" t="s">
        <v>2384</v>
      </c>
      <c r="Y321" s="82">
        <v>0</v>
      </c>
      <c r="Z321" s="89">
        <v>45289.300833333335</v>
      </c>
      <c r="AA321" s="89">
        <v>45289.300833333335</v>
      </c>
      <c r="AB321" s="82"/>
      <c r="AC321" s="82"/>
      <c r="AD321" s="85" t="s">
        <v>2423</v>
      </c>
      <c r="AE321" s="84" t="str">
        <f>REPLACE(INDEX(GroupVertices[Group],MATCH("~"&amp;Edges[[#This Row],[Vertex 1]],GroupVertices[Vertex],0)),1,1,"")</f>
        <v>1</v>
      </c>
      <c r="AF321" s="84" t="str">
        <f>REPLACE(INDEX(GroupVertices[Group],MATCH("~"&amp;Edges[[#This Row],[Vertex 2]],GroupVertices[Vertex],0)),1,1,"")</f>
        <v>1</v>
      </c>
    </row>
    <row r="322" spans="1:32" ht="15">
      <c r="A322" s="66" t="s">
        <v>501</v>
      </c>
      <c r="B322" s="66" t="s">
        <v>907</v>
      </c>
      <c r="C322" s="67"/>
      <c r="D322" s="68"/>
      <c r="E322" s="69"/>
      <c r="F322" s="70"/>
      <c r="G322" s="67"/>
      <c r="H322" s="71"/>
      <c r="I322" s="72"/>
      <c r="J322" s="72"/>
      <c r="K322" s="35"/>
      <c r="L322" s="80">
        <v>322</v>
      </c>
      <c r="M322" s="80"/>
      <c r="N322" s="74"/>
      <c r="O322" s="82" t="s">
        <v>909</v>
      </c>
      <c r="P322" s="82" t="s">
        <v>197</v>
      </c>
      <c r="Q322" s="85" t="s">
        <v>1228</v>
      </c>
      <c r="R322" s="82" t="s">
        <v>501</v>
      </c>
      <c r="S322" s="82" t="s">
        <v>1967</v>
      </c>
      <c r="T322" s="87" t="str">
        <f>HYPERLINK("http://www.youtube.com/channel/UC0odDQXJ1f6VwclLzki0pbA")</f>
        <v>http://www.youtube.com/channel/UC0odDQXJ1f6VwclLzki0pbA</v>
      </c>
      <c r="U322" s="82"/>
      <c r="V322" s="82" t="s">
        <v>2370</v>
      </c>
      <c r="W322" s="87" t="str">
        <f t="shared" si="13"/>
        <v>https://www.youtube.com/watch?v=yBF2fGUO5cQ</v>
      </c>
      <c r="X322" s="82" t="s">
        <v>2384</v>
      </c>
      <c r="Y322" s="82">
        <v>1</v>
      </c>
      <c r="Z322" s="89">
        <v>45289.750451388885</v>
      </c>
      <c r="AA322" s="89">
        <v>45289.750451388885</v>
      </c>
      <c r="AB322" s="82"/>
      <c r="AC322" s="82"/>
      <c r="AD322" s="85" t="s">
        <v>2423</v>
      </c>
      <c r="AE322" s="84" t="str">
        <f>REPLACE(INDEX(GroupVertices[Group],MATCH("~"&amp;Edges[[#This Row],[Vertex 1]],GroupVertices[Vertex],0)),1,1,"")</f>
        <v>1</v>
      </c>
      <c r="AF322" s="84" t="str">
        <f>REPLACE(INDEX(GroupVertices[Group],MATCH("~"&amp;Edges[[#This Row],[Vertex 2]],GroupVertices[Vertex],0)),1,1,"")</f>
        <v>1</v>
      </c>
    </row>
    <row r="323" spans="1:32" ht="15">
      <c r="A323" s="66" t="s">
        <v>502</v>
      </c>
      <c r="B323" s="66" t="s">
        <v>907</v>
      </c>
      <c r="C323" s="67"/>
      <c r="D323" s="68"/>
      <c r="E323" s="69"/>
      <c r="F323" s="70"/>
      <c r="G323" s="67"/>
      <c r="H323" s="71"/>
      <c r="I323" s="72"/>
      <c r="J323" s="72"/>
      <c r="K323" s="35"/>
      <c r="L323" s="80">
        <v>323</v>
      </c>
      <c r="M323" s="80"/>
      <c r="N323" s="74"/>
      <c r="O323" s="82" t="s">
        <v>909</v>
      </c>
      <c r="P323" s="82" t="s">
        <v>197</v>
      </c>
      <c r="Q323" s="85" t="s">
        <v>1229</v>
      </c>
      <c r="R323" s="82" t="s">
        <v>502</v>
      </c>
      <c r="S323" s="82" t="s">
        <v>1968</v>
      </c>
      <c r="T323" s="87" t="str">
        <f>HYPERLINK("http://www.youtube.com/channel/UCDYIAQcrOstSLjyGnC5sR6w")</f>
        <v>http://www.youtube.com/channel/UCDYIAQcrOstSLjyGnC5sR6w</v>
      </c>
      <c r="U323" s="82"/>
      <c r="V323" s="82" t="s">
        <v>2370</v>
      </c>
      <c r="W323" s="87" t="str">
        <f t="shared" si="13"/>
        <v>https://www.youtube.com/watch?v=yBF2fGUO5cQ</v>
      </c>
      <c r="X323" s="82" t="s">
        <v>2384</v>
      </c>
      <c r="Y323" s="82">
        <v>0</v>
      </c>
      <c r="Z323" s="89">
        <v>45289.80758101852</v>
      </c>
      <c r="AA323" s="89">
        <v>45289.80758101852</v>
      </c>
      <c r="AB323" s="82"/>
      <c r="AC323" s="82"/>
      <c r="AD323" s="85" t="s">
        <v>2423</v>
      </c>
      <c r="AE323" s="84" t="str">
        <f>REPLACE(INDEX(GroupVertices[Group],MATCH("~"&amp;Edges[[#This Row],[Vertex 1]],GroupVertices[Vertex],0)),1,1,"")</f>
        <v>1</v>
      </c>
      <c r="AF323" s="84" t="str">
        <f>REPLACE(INDEX(GroupVertices[Group],MATCH("~"&amp;Edges[[#This Row],[Vertex 2]],GroupVertices[Vertex],0)),1,1,"")</f>
        <v>1</v>
      </c>
    </row>
    <row r="324" spans="1:32" ht="15">
      <c r="A324" s="66" t="s">
        <v>502</v>
      </c>
      <c r="B324" s="66" t="s">
        <v>907</v>
      </c>
      <c r="C324" s="67"/>
      <c r="D324" s="68"/>
      <c r="E324" s="69"/>
      <c r="F324" s="70"/>
      <c r="G324" s="67"/>
      <c r="H324" s="71"/>
      <c r="I324" s="72"/>
      <c r="J324" s="72"/>
      <c r="K324" s="35"/>
      <c r="L324" s="80">
        <v>324</v>
      </c>
      <c r="M324" s="80"/>
      <c r="N324" s="74"/>
      <c r="O324" s="82" t="s">
        <v>909</v>
      </c>
      <c r="P324" s="82" t="s">
        <v>197</v>
      </c>
      <c r="Q324" s="85" t="s">
        <v>1230</v>
      </c>
      <c r="R324" s="82" t="s">
        <v>502</v>
      </c>
      <c r="S324" s="82" t="s">
        <v>1968</v>
      </c>
      <c r="T324" s="87" t="str">
        <f>HYPERLINK("http://www.youtube.com/channel/UCDYIAQcrOstSLjyGnC5sR6w")</f>
        <v>http://www.youtube.com/channel/UCDYIAQcrOstSLjyGnC5sR6w</v>
      </c>
      <c r="U324" s="82"/>
      <c r="V324" s="82" t="s">
        <v>2370</v>
      </c>
      <c r="W324" s="87" t="str">
        <f t="shared" si="13"/>
        <v>https://www.youtube.com/watch?v=yBF2fGUO5cQ</v>
      </c>
      <c r="X324" s="82" t="s">
        <v>2384</v>
      </c>
      <c r="Y324" s="82">
        <v>0</v>
      </c>
      <c r="Z324" s="89">
        <v>45289.81605324074</v>
      </c>
      <c r="AA324" s="89">
        <v>45289.81605324074</v>
      </c>
      <c r="AB324" s="82" t="s">
        <v>2399</v>
      </c>
      <c r="AC324" s="82" t="s">
        <v>2419</v>
      </c>
      <c r="AD324" s="85" t="s">
        <v>2423</v>
      </c>
      <c r="AE324" s="84" t="str">
        <f>REPLACE(INDEX(GroupVertices[Group],MATCH("~"&amp;Edges[[#This Row],[Vertex 1]],GroupVertices[Vertex],0)),1,1,"")</f>
        <v>1</v>
      </c>
      <c r="AF324" s="84" t="str">
        <f>REPLACE(INDEX(GroupVertices[Group],MATCH("~"&amp;Edges[[#This Row],[Vertex 2]],GroupVertices[Vertex],0)),1,1,"")</f>
        <v>1</v>
      </c>
    </row>
    <row r="325" spans="1:32" ht="15">
      <c r="A325" s="66" t="s">
        <v>503</v>
      </c>
      <c r="B325" s="66" t="s">
        <v>907</v>
      </c>
      <c r="C325" s="67"/>
      <c r="D325" s="68"/>
      <c r="E325" s="69"/>
      <c r="F325" s="70"/>
      <c r="G325" s="67"/>
      <c r="H325" s="71"/>
      <c r="I325" s="72"/>
      <c r="J325" s="72"/>
      <c r="K325" s="35"/>
      <c r="L325" s="80">
        <v>325</v>
      </c>
      <c r="M325" s="80"/>
      <c r="N325" s="74"/>
      <c r="O325" s="82" t="s">
        <v>909</v>
      </c>
      <c r="P325" s="82" t="s">
        <v>197</v>
      </c>
      <c r="Q325" s="85" t="s">
        <v>1231</v>
      </c>
      <c r="R325" s="82" t="s">
        <v>503</v>
      </c>
      <c r="S325" s="82" t="s">
        <v>1969</v>
      </c>
      <c r="T325" s="87" t="str">
        <f>HYPERLINK("http://www.youtube.com/channel/UCUFAejaSPvGBiBbLXW0m5qg")</f>
        <v>http://www.youtube.com/channel/UCUFAejaSPvGBiBbLXW0m5qg</v>
      </c>
      <c r="U325" s="82"/>
      <c r="V325" s="82" t="s">
        <v>2370</v>
      </c>
      <c r="W325" s="87" t="str">
        <f t="shared" si="13"/>
        <v>https://www.youtube.com/watch?v=yBF2fGUO5cQ</v>
      </c>
      <c r="X325" s="82" t="s">
        <v>2384</v>
      </c>
      <c r="Y325" s="82">
        <v>1</v>
      </c>
      <c r="Z325" s="89">
        <v>45289.852314814816</v>
      </c>
      <c r="AA325" s="89">
        <v>45289.852314814816</v>
      </c>
      <c r="AB325" s="82"/>
      <c r="AC325" s="82"/>
      <c r="AD325" s="85" t="s">
        <v>2423</v>
      </c>
      <c r="AE325" s="84" t="str">
        <f>REPLACE(INDEX(GroupVertices[Group],MATCH("~"&amp;Edges[[#This Row],[Vertex 1]],GroupVertices[Vertex],0)),1,1,"")</f>
        <v>1</v>
      </c>
      <c r="AF325" s="84" t="str">
        <f>REPLACE(INDEX(GroupVertices[Group],MATCH("~"&amp;Edges[[#This Row],[Vertex 2]],GroupVertices[Vertex],0)),1,1,"")</f>
        <v>1</v>
      </c>
    </row>
    <row r="326" spans="1:32" ht="15">
      <c r="A326" s="66" t="s">
        <v>504</v>
      </c>
      <c r="B326" s="66" t="s">
        <v>907</v>
      </c>
      <c r="C326" s="67"/>
      <c r="D326" s="68"/>
      <c r="E326" s="69"/>
      <c r="F326" s="70"/>
      <c r="G326" s="67"/>
      <c r="H326" s="71"/>
      <c r="I326" s="72"/>
      <c r="J326" s="72"/>
      <c r="K326" s="35"/>
      <c r="L326" s="80">
        <v>326</v>
      </c>
      <c r="M326" s="80"/>
      <c r="N326" s="74"/>
      <c r="O326" s="82" t="s">
        <v>909</v>
      </c>
      <c r="P326" s="82" t="s">
        <v>197</v>
      </c>
      <c r="Q326" s="85" t="s">
        <v>1232</v>
      </c>
      <c r="R326" s="82" t="s">
        <v>504</v>
      </c>
      <c r="S326" s="82" t="s">
        <v>1970</v>
      </c>
      <c r="T326" s="87" t="str">
        <f>HYPERLINK("http://www.youtube.com/channel/UCFhRTpfl_Y43iIYkyNiTzAw")</f>
        <v>http://www.youtube.com/channel/UCFhRTpfl_Y43iIYkyNiTzAw</v>
      </c>
      <c r="U326" s="82"/>
      <c r="V326" s="82" t="s">
        <v>2370</v>
      </c>
      <c r="W326" s="87" t="str">
        <f t="shared" si="13"/>
        <v>https://www.youtube.com/watch?v=yBF2fGUO5cQ</v>
      </c>
      <c r="X326" s="82" t="s">
        <v>2384</v>
      </c>
      <c r="Y326" s="82">
        <v>0</v>
      </c>
      <c r="Z326" s="89">
        <v>45289.97418981481</v>
      </c>
      <c r="AA326" s="89">
        <v>45289.97418981481</v>
      </c>
      <c r="AB326" s="82"/>
      <c r="AC326" s="82"/>
      <c r="AD326" s="85" t="s">
        <v>2423</v>
      </c>
      <c r="AE326" s="84" t="str">
        <f>REPLACE(INDEX(GroupVertices[Group],MATCH("~"&amp;Edges[[#This Row],[Vertex 1]],GroupVertices[Vertex],0)),1,1,"")</f>
        <v>1</v>
      </c>
      <c r="AF326" s="84" t="str">
        <f>REPLACE(INDEX(GroupVertices[Group],MATCH("~"&amp;Edges[[#This Row],[Vertex 2]],GroupVertices[Vertex],0)),1,1,"")</f>
        <v>1</v>
      </c>
    </row>
    <row r="327" spans="1:32" ht="15">
      <c r="A327" s="66" t="s">
        <v>505</v>
      </c>
      <c r="B327" s="66" t="s">
        <v>907</v>
      </c>
      <c r="C327" s="67"/>
      <c r="D327" s="68"/>
      <c r="E327" s="69"/>
      <c r="F327" s="70"/>
      <c r="G327" s="67"/>
      <c r="H327" s="71"/>
      <c r="I327" s="72"/>
      <c r="J327" s="72"/>
      <c r="K327" s="35"/>
      <c r="L327" s="80">
        <v>327</v>
      </c>
      <c r="M327" s="80"/>
      <c r="N327" s="74"/>
      <c r="O327" s="82" t="s">
        <v>909</v>
      </c>
      <c r="P327" s="82" t="s">
        <v>197</v>
      </c>
      <c r="Q327" s="85" t="s">
        <v>1233</v>
      </c>
      <c r="R327" s="82" t="s">
        <v>505</v>
      </c>
      <c r="S327" s="82" t="s">
        <v>1971</v>
      </c>
      <c r="T327" s="87" t="str">
        <f>HYPERLINK("http://www.youtube.com/channel/UC3ExVgjQaiotHiHLuNVf3EA")</f>
        <v>http://www.youtube.com/channel/UC3ExVgjQaiotHiHLuNVf3EA</v>
      </c>
      <c r="U327" s="82"/>
      <c r="V327" s="82" t="s">
        <v>2370</v>
      </c>
      <c r="W327" s="87" t="str">
        <f t="shared" si="13"/>
        <v>https://www.youtube.com/watch?v=yBF2fGUO5cQ</v>
      </c>
      <c r="X327" s="82" t="s">
        <v>2384</v>
      </c>
      <c r="Y327" s="82">
        <v>1</v>
      </c>
      <c r="Z327" s="89">
        <v>45290.3256712963</v>
      </c>
      <c r="AA327" s="89">
        <v>45290.3256712963</v>
      </c>
      <c r="AB327" s="82"/>
      <c r="AC327" s="82"/>
      <c r="AD327" s="85" t="s">
        <v>2423</v>
      </c>
      <c r="AE327" s="84" t="str">
        <f>REPLACE(INDEX(GroupVertices[Group],MATCH("~"&amp;Edges[[#This Row],[Vertex 1]],GroupVertices[Vertex],0)),1,1,"")</f>
        <v>1</v>
      </c>
      <c r="AF327" s="84" t="str">
        <f>REPLACE(INDEX(GroupVertices[Group],MATCH("~"&amp;Edges[[#This Row],[Vertex 2]],GroupVertices[Vertex],0)),1,1,"")</f>
        <v>1</v>
      </c>
    </row>
    <row r="328" spans="1:32" ht="15">
      <c r="A328" s="66" t="s">
        <v>506</v>
      </c>
      <c r="B328" s="66" t="s">
        <v>907</v>
      </c>
      <c r="C328" s="67"/>
      <c r="D328" s="68"/>
      <c r="E328" s="69"/>
      <c r="F328" s="70"/>
      <c r="G328" s="67"/>
      <c r="H328" s="71"/>
      <c r="I328" s="72"/>
      <c r="J328" s="72"/>
      <c r="K328" s="35"/>
      <c r="L328" s="80">
        <v>328</v>
      </c>
      <c r="M328" s="80"/>
      <c r="N328" s="74"/>
      <c r="O328" s="82" t="s">
        <v>909</v>
      </c>
      <c r="P328" s="82" t="s">
        <v>197</v>
      </c>
      <c r="Q328" s="85" t="s">
        <v>1234</v>
      </c>
      <c r="R328" s="82" t="s">
        <v>506</v>
      </c>
      <c r="S328" s="82" t="s">
        <v>1972</v>
      </c>
      <c r="T328" s="87" t="str">
        <f>HYPERLINK("http://www.youtube.com/channel/UCe12zFG2b4YJ9s2932O2w1w")</f>
        <v>http://www.youtube.com/channel/UCe12zFG2b4YJ9s2932O2w1w</v>
      </c>
      <c r="U328" s="82"/>
      <c r="V328" s="82" t="s">
        <v>2370</v>
      </c>
      <c r="W328" s="87" t="str">
        <f t="shared" si="13"/>
        <v>https://www.youtube.com/watch?v=yBF2fGUO5cQ</v>
      </c>
      <c r="X328" s="82" t="s">
        <v>2384</v>
      </c>
      <c r="Y328" s="82">
        <v>1</v>
      </c>
      <c r="Z328" s="89">
        <v>45290.35633101852</v>
      </c>
      <c r="AA328" s="89">
        <v>45290.35633101852</v>
      </c>
      <c r="AB328" s="82"/>
      <c r="AC328" s="82"/>
      <c r="AD328" s="85" t="s">
        <v>2423</v>
      </c>
      <c r="AE328" s="84" t="str">
        <f>REPLACE(INDEX(GroupVertices[Group],MATCH("~"&amp;Edges[[#This Row],[Vertex 1]],GroupVertices[Vertex],0)),1,1,"")</f>
        <v>1</v>
      </c>
      <c r="AF328" s="84" t="str">
        <f>REPLACE(INDEX(GroupVertices[Group],MATCH("~"&amp;Edges[[#This Row],[Vertex 2]],GroupVertices[Vertex],0)),1,1,"")</f>
        <v>1</v>
      </c>
    </row>
    <row r="329" spans="1:32" ht="15">
      <c r="A329" s="66" t="s">
        <v>507</v>
      </c>
      <c r="B329" s="66" t="s">
        <v>907</v>
      </c>
      <c r="C329" s="67"/>
      <c r="D329" s="68"/>
      <c r="E329" s="69"/>
      <c r="F329" s="70"/>
      <c r="G329" s="67"/>
      <c r="H329" s="71"/>
      <c r="I329" s="72"/>
      <c r="J329" s="72"/>
      <c r="K329" s="35"/>
      <c r="L329" s="80">
        <v>329</v>
      </c>
      <c r="M329" s="80"/>
      <c r="N329" s="74"/>
      <c r="O329" s="82" t="s">
        <v>909</v>
      </c>
      <c r="P329" s="82" t="s">
        <v>197</v>
      </c>
      <c r="Q329" s="85" t="s">
        <v>1235</v>
      </c>
      <c r="R329" s="82" t="s">
        <v>507</v>
      </c>
      <c r="S329" s="82" t="s">
        <v>1973</v>
      </c>
      <c r="T329" s="87" t="str">
        <f>HYPERLINK("http://www.youtube.com/channel/UCfQq6U6DRzUR6AXTwiSDsbw")</f>
        <v>http://www.youtube.com/channel/UCfQq6U6DRzUR6AXTwiSDsbw</v>
      </c>
      <c r="U329" s="82"/>
      <c r="V329" s="82" t="s">
        <v>2370</v>
      </c>
      <c r="W329" s="87" t="str">
        <f t="shared" si="13"/>
        <v>https://www.youtube.com/watch?v=yBF2fGUO5cQ</v>
      </c>
      <c r="X329" s="82" t="s">
        <v>2384</v>
      </c>
      <c r="Y329" s="82">
        <v>0</v>
      </c>
      <c r="Z329" s="89">
        <v>45290.51914351852</v>
      </c>
      <c r="AA329" s="89">
        <v>45290.51914351852</v>
      </c>
      <c r="AB329" s="82"/>
      <c r="AC329" s="82"/>
      <c r="AD329" s="85" t="s">
        <v>2423</v>
      </c>
      <c r="AE329" s="84" t="str">
        <f>REPLACE(INDEX(GroupVertices[Group],MATCH("~"&amp;Edges[[#This Row],[Vertex 1]],GroupVertices[Vertex],0)),1,1,"")</f>
        <v>1</v>
      </c>
      <c r="AF329" s="84" t="str">
        <f>REPLACE(INDEX(GroupVertices[Group],MATCH("~"&amp;Edges[[#This Row],[Vertex 2]],GroupVertices[Vertex],0)),1,1,"")</f>
        <v>1</v>
      </c>
    </row>
    <row r="330" spans="1:32" ht="15">
      <c r="A330" s="66" t="s">
        <v>508</v>
      </c>
      <c r="B330" s="66" t="s">
        <v>907</v>
      </c>
      <c r="C330" s="67"/>
      <c r="D330" s="68"/>
      <c r="E330" s="69"/>
      <c r="F330" s="70"/>
      <c r="G330" s="67"/>
      <c r="H330" s="71"/>
      <c r="I330" s="72"/>
      <c r="J330" s="72"/>
      <c r="K330" s="35"/>
      <c r="L330" s="80">
        <v>330</v>
      </c>
      <c r="M330" s="80"/>
      <c r="N330" s="74"/>
      <c r="O330" s="82" t="s">
        <v>909</v>
      </c>
      <c r="P330" s="82" t="s">
        <v>197</v>
      </c>
      <c r="Q330" s="85" t="s">
        <v>1236</v>
      </c>
      <c r="R330" s="82" t="s">
        <v>508</v>
      </c>
      <c r="S330" s="82" t="s">
        <v>1974</v>
      </c>
      <c r="T330" s="87" t="str">
        <f>HYPERLINK("http://www.youtube.com/channel/UCssGlCd583F9i_ddVDhw1FQ")</f>
        <v>http://www.youtube.com/channel/UCssGlCd583F9i_ddVDhw1FQ</v>
      </c>
      <c r="U330" s="82"/>
      <c r="V330" s="82" t="s">
        <v>2370</v>
      </c>
      <c r="W330" s="87" t="str">
        <f t="shared" si="13"/>
        <v>https://www.youtube.com/watch?v=yBF2fGUO5cQ</v>
      </c>
      <c r="X330" s="82" t="s">
        <v>2384</v>
      </c>
      <c r="Y330" s="82">
        <v>1</v>
      </c>
      <c r="Z330" s="89">
        <v>45290.71984953704</v>
      </c>
      <c r="AA330" s="89">
        <v>45291.33765046296</v>
      </c>
      <c r="AB330" s="82"/>
      <c r="AC330" s="82"/>
      <c r="AD330" s="85" t="s">
        <v>2423</v>
      </c>
      <c r="AE330" s="84" t="str">
        <f>REPLACE(INDEX(GroupVertices[Group],MATCH("~"&amp;Edges[[#This Row],[Vertex 1]],GroupVertices[Vertex],0)),1,1,"")</f>
        <v>1</v>
      </c>
      <c r="AF330" s="84" t="str">
        <f>REPLACE(INDEX(GroupVertices[Group],MATCH("~"&amp;Edges[[#This Row],[Vertex 2]],GroupVertices[Vertex],0)),1,1,"")</f>
        <v>1</v>
      </c>
    </row>
    <row r="331" spans="1:32" ht="15">
      <c r="A331" s="66" t="s">
        <v>509</v>
      </c>
      <c r="B331" s="66" t="s">
        <v>907</v>
      </c>
      <c r="C331" s="67"/>
      <c r="D331" s="68"/>
      <c r="E331" s="69"/>
      <c r="F331" s="70"/>
      <c r="G331" s="67"/>
      <c r="H331" s="71"/>
      <c r="I331" s="72"/>
      <c r="J331" s="72"/>
      <c r="K331" s="35"/>
      <c r="L331" s="80">
        <v>331</v>
      </c>
      <c r="M331" s="80"/>
      <c r="N331" s="74"/>
      <c r="O331" s="82" t="s">
        <v>909</v>
      </c>
      <c r="P331" s="82" t="s">
        <v>197</v>
      </c>
      <c r="Q331" s="85" t="s">
        <v>1237</v>
      </c>
      <c r="R331" s="82" t="s">
        <v>509</v>
      </c>
      <c r="S331" s="82" t="s">
        <v>1975</v>
      </c>
      <c r="T331" s="87" t="str">
        <f>HYPERLINK("http://www.youtube.com/channel/UCQqb0hqrx6k7xN5rP4bLI8Q")</f>
        <v>http://www.youtube.com/channel/UCQqb0hqrx6k7xN5rP4bLI8Q</v>
      </c>
      <c r="U331" s="82"/>
      <c r="V331" s="82" t="s">
        <v>2370</v>
      </c>
      <c r="W331" s="87" t="str">
        <f t="shared" si="13"/>
        <v>https://www.youtube.com/watch?v=yBF2fGUO5cQ</v>
      </c>
      <c r="X331" s="82" t="s">
        <v>2384</v>
      </c>
      <c r="Y331" s="82">
        <v>0</v>
      </c>
      <c r="Z331" s="89">
        <v>45290.788125</v>
      </c>
      <c r="AA331" s="89">
        <v>45290.788125</v>
      </c>
      <c r="AB331" s="82"/>
      <c r="AC331" s="82"/>
      <c r="AD331" s="85" t="s">
        <v>2423</v>
      </c>
      <c r="AE331" s="84" t="str">
        <f>REPLACE(INDEX(GroupVertices[Group],MATCH("~"&amp;Edges[[#This Row],[Vertex 1]],GroupVertices[Vertex],0)),1,1,"")</f>
        <v>1</v>
      </c>
      <c r="AF331" s="84" t="str">
        <f>REPLACE(INDEX(GroupVertices[Group],MATCH("~"&amp;Edges[[#This Row],[Vertex 2]],GroupVertices[Vertex],0)),1,1,"")</f>
        <v>1</v>
      </c>
    </row>
    <row r="332" spans="1:32" ht="15">
      <c r="A332" s="66" t="s">
        <v>510</v>
      </c>
      <c r="B332" s="66" t="s">
        <v>907</v>
      </c>
      <c r="C332" s="67"/>
      <c r="D332" s="68"/>
      <c r="E332" s="69"/>
      <c r="F332" s="70"/>
      <c r="G332" s="67"/>
      <c r="H332" s="71"/>
      <c r="I332" s="72"/>
      <c r="J332" s="72"/>
      <c r="K332" s="35"/>
      <c r="L332" s="80">
        <v>332</v>
      </c>
      <c r="M332" s="80"/>
      <c r="N332" s="74"/>
      <c r="O332" s="82" t="s">
        <v>909</v>
      </c>
      <c r="P332" s="82" t="s">
        <v>197</v>
      </c>
      <c r="Q332" s="85" t="s">
        <v>1238</v>
      </c>
      <c r="R332" s="82" t="s">
        <v>510</v>
      </c>
      <c r="S332" s="82" t="s">
        <v>1976</v>
      </c>
      <c r="T332" s="87" t="str">
        <f>HYPERLINK("http://www.youtube.com/channel/UC8TKlK89va7w9xibnrYYewQ")</f>
        <v>http://www.youtube.com/channel/UC8TKlK89va7w9xibnrYYewQ</v>
      </c>
      <c r="U332" s="82"/>
      <c r="V332" s="82" t="s">
        <v>2370</v>
      </c>
      <c r="W332" s="87" t="str">
        <f t="shared" si="13"/>
        <v>https://www.youtube.com/watch?v=yBF2fGUO5cQ</v>
      </c>
      <c r="X332" s="82" t="s">
        <v>2384</v>
      </c>
      <c r="Y332" s="82">
        <v>1</v>
      </c>
      <c r="Z332" s="89">
        <v>45291.27681712963</v>
      </c>
      <c r="AA332" s="89">
        <v>45291.27681712963</v>
      </c>
      <c r="AB332" s="82"/>
      <c r="AC332" s="82"/>
      <c r="AD332" s="85" t="s">
        <v>2423</v>
      </c>
      <c r="AE332" s="84" t="str">
        <f>REPLACE(INDEX(GroupVertices[Group],MATCH("~"&amp;Edges[[#This Row],[Vertex 1]],GroupVertices[Vertex],0)),1,1,"")</f>
        <v>1</v>
      </c>
      <c r="AF332" s="84" t="str">
        <f>REPLACE(INDEX(GroupVertices[Group],MATCH("~"&amp;Edges[[#This Row],[Vertex 2]],GroupVertices[Vertex],0)),1,1,"")</f>
        <v>1</v>
      </c>
    </row>
    <row r="333" spans="1:32" ht="15">
      <c r="A333" s="66" t="s">
        <v>511</v>
      </c>
      <c r="B333" s="66" t="s">
        <v>907</v>
      </c>
      <c r="C333" s="67"/>
      <c r="D333" s="68"/>
      <c r="E333" s="69"/>
      <c r="F333" s="70"/>
      <c r="G333" s="67"/>
      <c r="H333" s="71"/>
      <c r="I333" s="72"/>
      <c r="J333" s="72"/>
      <c r="K333" s="35"/>
      <c r="L333" s="80">
        <v>333</v>
      </c>
      <c r="M333" s="80"/>
      <c r="N333" s="74"/>
      <c r="O333" s="82" t="s">
        <v>909</v>
      </c>
      <c r="P333" s="82" t="s">
        <v>197</v>
      </c>
      <c r="Q333" s="85" t="s">
        <v>1239</v>
      </c>
      <c r="R333" s="82" t="s">
        <v>511</v>
      </c>
      <c r="S333" s="82" t="s">
        <v>1977</v>
      </c>
      <c r="T333" s="87" t="str">
        <f>HYPERLINK("http://www.youtube.com/channel/UCrzwKG4qZDhIGDPN0jO_wzQ")</f>
        <v>http://www.youtube.com/channel/UCrzwKG4qZDhIGDPN0jO_wzQ</v>
      </c>
      <c r="U333" s="82"/>
      <c r="V333" s="82" t="s">
        <v>2370</v>
      </c>
      <c r="W333" s="87" t="str">
        <f t="shared" si="13"/>
        <v>https://www.youtube.com/watch?v=yBF2fGUO5cQ</v>
      </c>
      <c r="X333" s="82" t="s">
        <v>2384</v>
      </c>
      <c r="Y333" s="82">
        <v>1</v>
      </c>
      <c r="Z333" s="89">
        <v>45291.90081018519</v>
      </c>
      <c r="AA333" s="89">
        <v>45291.90081018519</v>
      </c>
      <c r="AB333" s="82"/>
      <c r="AC333" s="82"/>
      <c r="AD333" s="85" t="s">
        <v>2423</v>
      </c>
      <c r="AE333" s="84" t="str">
        <f>REPLACE(INDEX(GroupVertices[Group],MATCH("~"&amp;Edges[[#This Row],[Vertex 1]],GroupVertices[Vertex],0)),1,1,"")</f>
        <v>1</v>
      </c>
      <c r="AF333" s="84" t="str">
        <f>REPLACE(INDEX(GroupVertices[Group],MATCH("~"&amp;Edges[[#This Row],[Vertex 2]],GroupVertices[Vertex],0)),1,1,"")</f>
        <v>1</v>
      </c>
    </row>
    <row r="334" spans="1:32" ht="15">
      <c r="A334" s="66" t="s">
        <v>512</v>
      </c>
      <c r="B334" s="66" t="s">
        <v>907</v>
      </c>
      <c r="C334" s="67"/>
      <c r="D334" s="68"/>
      <c r="E334" s="69"/>
      <c r="F334" s="70"/>
      <c r="G334" s="67"/>
      <c r="H334" s="71"/>
      <c r="I334" s="72"/>
      <c r="J334" s="72"/>
      <c r="K334" s="35"/>
      <c r="L334" s="80">
        <v>334</v>
      </c>
      <c r="M334" s="80"/>
      <c r="N334" s="74"/>
      <c r="O334" s="82" t="s">
        <v>909</v>
      </c>
      <c r="P334" s="82" t="s">
        <v>197</v>
      </c>
      <c r="Q334" s="85" t="s">
        <v>1240</v>
      </c>
      <c r="R334" s="82" t="s">
        <v>512</v>
      </c>
      <c r="S334" s="82" t="s">
        <v>1978</v>
      </c>
      <c r="T334" s="87" t="str">
        <f>HYPERLINK("http://www.youtube.com/channel/UCTXUtV61Kogv2Q6fnM5e3WQ")</f>
        <v>http://www.youtube.com/channel/UCTXUtV61Kogv2Q6fnM5e3WQ</v>
      </c>
      <c r="U334" s="82"/>
      <c r="V334" s="82" t="s">
        <v>2370</v>
      </c>
      <c r="W334" s="87" t="str">
        <f t="shared" si="13"/>
        <v>https://www.youtube.com/watch?v=yBF2fGUO5cQ</v>
      </c>
      <c r="X334" s="82" t="s">
        <v>2384</v>
      </c>
      <c r="Y334" s="82">
        <v>1</v>
      </c>
      <c r="Z334" s="89">
        <v>45292.083865740744</v>
      </c>
      <c r="AA334" s="89">
        <v>45292.087013888886</v>
      </c>
      <c r="AB334" s="82"/>
      <c r="AC334" s="82"/>
      <c r="AD334" s="85" t="s">
        <v>2423</v>
      </c>
      <c r="AE334" s="84" t="str">
        <f>REPLACE(INDEX(GroupVertices[Group],MATCH("~"&amp;Edges[[#This Row],[Vertex 1]],GroupVertices[Vertex],0)),1,1,"")</f>
        <v>1</v>
      </c>
      <c r="AF334" s="84" t="str">
        <f>REPLACE(INDEX(GroupVertices[Group],MATCH("~"&amp;Edges[[#This Row],[Vertex 2]],GroupVertices[Vertex],0)),1,1,"")</f>
        <v>1</v>
      </c>
    </row>
    <row r="335" spans="1:32" ht="15">
      <c r="A335" s="66" t="s">
        <v>513</v>
      </c>
      <c r="B335" s="66" t="s">
        <v>907</v>
      </c>
      <c r="C335" s="67"/>
      <c r="D335" s="68"/>
      <c r="E335" s="69"/>
      <c r="F335" s="70"/>
      <c r="G335" s="67"/>
      <c r="H335" s="71"/>
      <c r="I335" s="72"/>
      <c r="J335" s="72"/>
      <c r="K335" s="35"/>
      <c r="L335" s="80">
        <v>335</v>
      </c>
      <c r="M335" s="80"/>
      <c r="N335" s="74"/>
      <c r="O335" s="82" t="s">
        <v>909</v>
      </c>
      <c r="P335" s="82" t="s">
        <v>197</v>
      </c>
      <c r="Q335" s="85" t="s">
        <v>1241</v>
      </c>
      <c r="R335" s="82" t="s">
        <v>513</v>
      </c>
      <c r="S335" s="82" t="s">
        <v>1979</v>
      </c>
      <c r="T335" s="87" t="str">
        <f>HYPERLINK("http://www.youtube.com/channel/UCVg1HvSPX4I1JmxNNpx9aWg")</f>
        <v>http://www.youtube.com/channel/UCVg1HvSPX4I1JmxNNpx9aWg</v>
      </c>
      <c r="U335" s="82"/>
      <c r="V335" s="82" t="s">
        <v>2370</v>
      </c>
      <c r="W335" s="87" t="str">
        <f t="shared" si="13"/>
        <v>https://www.youtube.com/watch?v=yBF2fGUO5cQ</v>
      </c>
      <c r="X335" s="82" t="s">
        <v>2384</v>
      </c>
      <c r="Y335" s="82">
        <v>1</v>
      </c>
      <c r="Z335" s="89">
        <v>45293.24895833333</v>
      </c>
      <c r="AA335" s="89">
        <v>45293.24895833333</v>
      </c>
      <c r="AB335" s="82"/>
      <c r="AC335" s="82"/>
      <c r="AD335" s="85" t="s">
        <v>2423</v>
      </c>
      <c r="AE335" s="84" t="str">
        <f>REPLACE(INDEX(GroupVertices[Group],MATCH("~"&amp;Edges[[#This Row],[Vertex 1]],GroupVertices[Vertex],0)),1,1,"")</f>
        <v>1</v>
      </c>
      <c r="AF335" s="84" t="str">
        <f>REPLACE(INDEX(GroupVertices[Group],MATCH("~"&amp;Edges[[#This Row],[Vertex 2]],GroupVertices[Vertex],0)),1,1,"")</f>
        <v>1</v>
      </c>
    </row>
    <row r="336" spans="1:32" ht="15">
      <c r="A336" s="66" t="s">
        <v>514</v>
      </c>
      <c r="B336" s="66" t="s">
        <v>907</v>
      </c>
      <c r="C336" s="67"/>
      <c r="D336" s="68"/>
      <c r="E336" s="69"/>
      <c r="F336" s="70"/>
      <c r="G336" s="67"/>
      <c r="H336" s="71"/>
      <c r="I336" s="72"/>
      <c r="J336" s="72"/>
      <c r="K336" s="35"/>
      <c r="L336" s="80">
        <v>336</v>
      </c>
      <c r="M336" s="80"/>
      <c r="N336" s="74"/>
      <c r="O336" s="82" t="s">
        <v>909</v>
      </c>
      <c r="P336" s="82" t="s">
        <v>197</v>
      </c>
      <c r="Q336" s="85" t="s">
        <v>1242</v>
      </c>
      <c r="R336" s="82" t="s">
        <v>514</v>
      </c>
      <c r="S336" s="82" t="s">
        <v>1980</v>
      </c>
      <c r="T336" s="87" t="str">
        <f>HYPERLINK("http://www.youtube.com/channel/UCoLyqRHViTRR3Kn0WipQzfw")</f>
        <v>http://www.youtube.com/channel/UCoLyqRHViTRR3Kn0WipQzfw</v>
      </c>
      <c r="U336" s="82"/>
      <c r="V336" s="82" t="s">
        <v>2370</v>
      </c>
      <c r="W336" s="87" t="str">
        <f t="shared" si="13"/>
        <v>https://www.youtube.com/watch?v=yBF2fGUO5cQ</v>
      </c>
      <c r="X336" s="82" t="s">
        <v>2384</v>
      </c>
      <c r="Y336" s="82">
        <v>0</v>
      </c>
      <c r="Z336" s="89">
        <v>45293.62228009259</v>
      </c>
      <c r="AA336" s="89">
        <v>45293.62228009259</v>
      </c>
      <c r="AB336" s="82"/>
      <c r="AC336" s="82"/>
      <c r="AD336" s="85" t="s">
        <v>2423</v>
      </c>
      <c r="AE336" s="84" t="str">
        <f>REPLACE(INDEX(GroupVertices[Group],MATCH("~"&amp;Edges[[#This Row],[Vertex 1]],GroupVertices[Vertex],0)),1,1,"")</f>
        <v>1</v>
      </c>
      <c r="AF336" s="84" t="str">
        <f>REPLACE(INDEX(GroupVertices[Group],MATCH("~"&amp;Edges[[#This Row],[Vertex 2]],GroupVertices[Vertex],0)),1,1,"")</f>
        <v>1</v>
      </c>
    </row>
    <row r="337" spans="1:32" ht="15">
      <c r="A337" s="66" t="s">
        <v>515</v>
      </c>
      <c r="B337" s="66" t="s">
        <v>907</v>
      </c>
      <c r="C337" s="67"/>
      <c r="D337" s="68"/>
      <c r="E337" s="69"/>
      <c r="F337" s="70"/>
      <c r="G337" s="67"/>
      <c r="H337" s="71"/>
      <c r="I337" s="72"/>
      <c r="J337" s="72"/>
      <c r="K337" s="35"/>
      <c r="L337" s="80">
        <v>337</v>
      </c>
      <c r="M337" s="80"/>
      <c r="N337" s="74"/>
      <c r="O337" s="82" t="s">
        <v>909</v>
      </c>
      <c r="P337" s="82" t="s">
        <v>197</v>
      </c>
      <c r="Q337" s="85" t="s">
        <v>1243</v>
      </c>
      <c r="R337" s="82" t="s">
        <v>515</v>
      </c>
      <c r="S337" s="82" t="s">
        <v>1981</v>
      </c>
      <c r="T337" s="87" t="str">
        <f>HYPERLINK("http://www.youtube.com/channel/UC664SWpcq1W8vkA-rPPTspw")</f>
        <v>http://www.youtube.com/channel/UC664SWpcq1W8vkA-rPPTspw</v>
      </c>
      <c r="U337" s="82"/>
      <c r="V337" s="82" t="s">
        <v>2370</v>
      </c>
      <c r="W337" s="87" t="str">
        <f t="shared" si="13"/>
        <v>https://www.youtube.com/watch?v=yBF2fGUO5cQ</v>
      </c>
      <c r="X337" s="82" t="s">
        <v>2384</v>
      </c>
      <c r="Y337" s="82">
        <v>1</v>
      </c>
      <c r="Z337" s="89">
        <v>45293.74890046296</v>
      </c>
      <c r="AA337" s="89">
        <v>45293.74890046296</v>
      </c>
      <c r="AB337" s="82"/>
      <c r="AC337" s="82"/>
      <c r="AD337" s="85" t="s">
        <v>2423</v>
      </c>
      <c r="AE337" s="84" t="str">
        <f>REPLACE(INDEX(GroupVertices[Group],MATCH("~"&amp;Edges[[#This Row],[Vertex 1]],GroupVertices[Vertex],0)),1,1,"")</f>
        <v>1</v>
      </c>
      <c r="AF337" s="84" t="str">
        <f>REPLACE(INDEX(GroupVertices[Group],MATCH("~"&amp;Edges[[#This Row],[Vertex 2]],GroupVertices[Vertex],0)),1,1,"")</f>
        <v>1</v>
      </c>
    </row>
    <row r="338" spans="1:32" ht="15">
      <c r="A338" s="66" t="s">
        <v>516</v>
      </c>
      <c r="B338" s="66" t="s">
        <v>907</v>
      </c>
      <c r="C338" s="67"/>
      <c r="D338" s="68"/>
      <c r="E338" s="69"/>
      <c r="F338" s="70"/>
      <c r="G338" s="67"/>
      <c r="H338" s="71"/>
      <c r="I338" s="72"/>
      <c r="J338" s="72"/>
      <c r="K338" s="35"/>
      <c r="L338" s="80">
        <v>338</v>
      </c>
      <c r="M338" s="80"/>
      <c r="N338" s="74"/>
      <c r="O338" s="82" t="s">
        <v>909</v>
      </c>
      <c r="P338" s="82" t="s">
        <v>197</v>
      </c>
      <c r="Q338" s="85" t="s">
        <v>1244</v>
      </c>
      <c r="R338" s="82" t="s">
        <v>516</v>
      </c>
      <c r="S338" s="82" t="s">
        <v>1982</v>
      </c>
      <c r="T338" s="87" t="str">
        <f>HYPERLINK("http://www.youtube.com/channel/UCnATnRl-Aj0_qgm9JxCyLAw")</f>
        <v>http://www.youtube.com/channel/UCnATnRl-Aj0_qgm9JxCyLAw</v>
      </c>
      <c r="U338" s="82"/>
      <c r="V338" s="82" t="s">
        <v>2370</v>
      </c>
      <c r="W338" s="87" t="str">
        <f t="shared" si="13"/>
        <v>https://www.youtube.com/watch?v=yBF2fGUO5cQ</v>
      </c>
      <c r="X338" s="82" t="s">
        <v>2384</v>
      </c>
      <c r="Y338" s="82">
        <v>0</v>
      </c>
      <c r="Z338" s="89">
        <v>45293.772141203706</v>
      </c>
      <c r="AA338" s="89">
        <v>45293.772141203706</v>
      </c>
      <c r="AB338" s="82"/>
      <c r="AC338" s="82"/>
      <c r="AD338" s="85" t="s">
        <v>2423</v>
      </c>
      <c r="AE338" s="84" t="str">
        <f>REPLACE(INDEX(GroupVertices[Group],MATCH("~"&amp;Edges[[#This Row],[Vertex 1]],GroupVertices[Vertex],0)),1,1,"")</f>
        <v>1</v>
      </c>
      <c r="AF338" s="84" t="str">
        <f>REPLACE(INDEX(GroupVertices[Group],MATCH("~"&amp;Edges[[#This Row],[Vertex 2]],GroupVertices[Vertex],0)),1,1,"")</f>
        <v>1</v>
      </c>
    </row>
    <row r="339" spans="1:32" ht="15">
      <c r="A339" s="66" t="s">
        <v>517</v>
      </c>
      <c r="B339" s="66" t="s">
        <v>907</v>
      </c>
      <c r="C339" s="67"/>
      <c r="D339" s="68"/>
      <c r="E339" s="69"/>
      <c r="F339" s="70"/>
      <c r="G339" s="67"/>
      <c r="H339" s="71"/>
      <c r="I339" s="72"/>
      <c r="J339" s="72"/>
      <c r="K339" s="35"/>
      <c r="L339" s="80">
        <v>339</v>
      </c>
      <c r="M339" s="80"/>
      <c r="N339" s="74"/>
      <c r="O339" s="82" t="s">
        <v>909</v>
      </c>
      <c r="P339" s="82" t="s">
        <v>197</v>
      </c>
      <c r="Q339" s="85" t="s">
        <v>1245</v>
      </c>
      <c r="R339" s="82" t="s">
        <v>517</v>
      </c>
      <c r="S339" s="82" t="s">
        <v>1983</v>
      </c>
      <c r="T339" s="87" t="str">
        <f>HYPERLINK("http://www.youtube.com/channel/UCt6TpF0bu4txm6djvHuFAVg")</f>
        <v>http://www.youtube.com/channel/UCt6TpF0bu4txm6djvHuFAVg</v>
      </c>
      <c r="U339" s="82"/>
      <c r="V339" s="82" t="s">
        <v>2370</v>
      </c>
      <c r="W339" s="87" t="str">
        <f t="shared" si="13"/>
        <v>https://www.youtube.com/watch?v=yBF2fGUO5cQ</v>
      </c>
      <c r="X339" s="82" t="s">
        <v>2384</v>
      </c>
      <c r="Y339" s="82">
        <v>1</v>
      </c>
      <c r="Z339" s="89">
        <v>45294.51395833334</v>
      </c>
      <c r="AA339" s="89">
        <v>45294.51395833334</v>
      </c>
      <c r="AB339" s="82"/>
      <c r="AC339" s="82"/>
      <c r="AD339" s="85" t="s">
        <v>2423</v>
      </c>
      <c r="AE339" s="84" t="str">
        <f>REPLACE(INDEX(GroupVertices[Group],MATCH("~"&amp;Edges[[#This Row],[Vertex 1]],GroupVertices[Vertex],0)),1,1,"")</f>
        <v>1</v>
      </c>
      <c r="AF339" s="84" t="str">
        <f>REPLACE(INDEX(GroupVertices[Group],MATCH("~"&amp;Edges[[#This Row],[Vertex 2]],GroupVertices[Vertex],0)),1,1,"")</f>
        <v>1</v>
      </c>
    </row>
    <row r="340" spans="1:32" ht="15">
      <c r="A340" s="66" t="s">
        <v>517</v>
      </c>
      <c r="B340" s="66" t="s">
        <v>907</v>
      </c>
      <c r="C340" s="67"/>
      <c r="D340" s="68"/>
      <c r="E340" s="69"/>
      <c r="F340" s="70"/>
      <c r="G340" s="67"/>
      <c r="H340" s="71"/>
      <c r="I340" s="72"/>
      <c r="J340" s="72"/>
      <c r="K340" s="35"/>
      <c r="L340" s="80">
        <v>340</v>
      </c>
      <c r="M340" s="80"/>
      <c r="N340" s="74"/>
      <c r="O340" s="82" t="s">
        <v>909</v>
      </c>
      <c r="P340" s="82" t="s">
        <v>197</v>
      </c>
      <c r="Q340" s="85" t="s">
        <v>1246</v>
      </c>
      <c r="R340" s="82" t="s">
        <v>517</v>
      </c>
      <c r="S340" s="82" t="s">
        <v>1983</v>
      </c>
      <c r="T340" s="87" t="str">
        <f>HYPERLINK("http://www.youtube.com/channel/UCt6TpF0bu4txm6djvHuFAVg")</f>
        <v>http://www.youtube.com/channel/UCt6TpF0bu4txm6djvHuFAVg</v>
      </c>
      <c r="U340" s="82"/>
      <c r="V340" s="82" t="s">
        <v>2370</v>
      </c>
      <c r="W340" s="87" t="str">
        <f t="shared" si="13"/>
        <v>https://www.youtube.com/watch?v=yBF2fGUO5cQ</v>
      </c>
      <c r="X340" s="82" t="s">
        <v>2384</v>
      </c>
      <c r="Y340" s="82">
        <v>1</v>
      </c>
      <c r="Z340" s="89">
        <v>45294.51443287037</v>
      </c>
      <c r="AA340" s="89">
        <v>45294.51443287037</v>
      </c>
      <c r="AB340" s="82"/>
      <c r="AC340" s="82"/>
      <c r="AD340" s="85" t="s">
        <v>2423</v>
      </c>
      <c r="AE340" s="84" t="str">
        <f>REPLACE(INDEX(GroupVertices[Group],MATCH("~"&amp;Edges[[#This Row],[Vertex 1]],GroupVertices[Vertex],0)),1,1,"")</f>
        <v>1</v>
      </c>
      <c r="AF340" s="84" t="str">
        <f>REPLACE(INDEX(GroupVertices[Group],MATCH("~"&amp;Edges[[#This Row],[Vertex 2]],GroupVertices[Vertex],0)),1,1,"")</f>
        <v>1</v>
      </c>
    </row>
    <row r="341" spans="1:32" ht="15">
      <c r="A341" s="66" t="s">
        <v>518</v>
      </c>
      <c r="B341" s="66" t="s">
        <v>907</v>
      </c>
      <c r="C341" s="67"/>
      <c r="D341" s="68"/>
      <c r="E341" s="69"/>
      <c r="F341" s="70"/>
      <c r="G341" s="67"/>
      <c r="H341" s="71"/>
      <c r="I341" s="72"/>
      <c r="J341" s="72"/>
      <c r="K341" s="35"/>
      <c r="L341" s="80">
        <v>341</v>
      </c>
      <c r="M341" s="80"/>
      <c r="N341" s="74"/>
      <c r="O341" s="82" t="s">
        <v>909</v>
      </c>
      <c r="P341" s="82" t="s">
        <v>197</v>
      </c>
      <c r="Q341" s="85" t="s">
        <v>1247</v>
      </c>
      <c r="R341" s="82" t="s">
        <v>518</v>
      </c>
      <c r="S341" s="82" t="s">
        <v>1984</v>
      </c>
      <c r="T341" s="87" t="str">
        <f>HYPERLINK("http://www.youtube.com/channel/UCm0T3GjXVmReGUjI2jxJCYQ")</f>
        <v>http://www.youtube.com/channel/UCm0T3GjXVmReGUjI2jxJCYQ</v>
      </c>
      <c r="U341" s="82"/>
      <c r="V341" s="82" t="s">
        <v>2370</v>
      </c>
      <c r="W341" s="87" t="str">
        <f t="shared" si="13"/>
        <v>https://www.youtube.com/watch?v=yBF2fGUO5cQ</v>
      </c>
      <c r="X341" s="82" t="s">
        <v>2384</v>
      </c>
      <c r="Y341" s="82">
        <v>0</v>
      </c>
      <c r="Z341" s="89">
        <v>45294.541979166665</v>
      </c>
      <c r="AA341" s="89">
        <v>45294.541979166665</v>
      </c>
      <c r="AB341" s="82"/>
      <c r="AC341" s="82"/>
      <c r="AD341" s="85" t="s">
        <v>2423</v>
      </c>
      <c r="AE341" s="84" t="str">
        <f>REPLACE(INDEX(GroupVertices[Group],MATCH("~"&amp;Edges[[#This Row],[Vertex 1]],GroupVertices[Vertex],0)),1,1,"")</f>
        <v>1</v>
      </c>
      <c r="AF341" s="84" t="str">
        <f>REPLACE(INDEX(GroupVertices[Group],MATCH("~"&amp;Edges[[#This Row],[Vertex 2]],GroupVertices[Vertex],0)),1,1,"")</f>
        <v>1</v>
      </c>
    </row>
    <row r="342" spans="1:32" ht="15">
      <c r="A342" s="66" t="s">
        <v>519</v>
      </c>
      <c r="B342" s="66" t="s">
        <v>907</v>
      </c>
      <c r="C342" s="67"/>
      <c r="D342" s="68"/>
      <c r="E342" s="69"/>
      <c r="F342" s="70"/>
      <c r="G342" s="67"/>
      <c r="H342" s="71"/>
      <c r="I342" s="72"/>
      <c r="J342" s="72"/>
      <c r="K342" s="35"/>
      <c r="L342" s="80">
        <v>342</v>
      </c>
      <c r="M342" s="80"/>
      <c r="N342" s="74"/>
      <c r="O342" s="82" t="s">
        <v>909</v>
      </c>
      <c r="P342" s="82" t="s">
        <v>197</v>
      </c>
      <c r="Q342" s="85" t="s">
        <v>1248</v>
      </c>
      <c r="R342" s="82" t="s">
        <v>519</v>
      </c>
      <c r="S342" s="82" t="s">
        <v>1985</v>
      </c>
      <c r="T342" s="87" t="str">
        <f>HYPERLINK("http://www.youtube.com/channel/UCAWdbmGR8KlYQ1zezsbyCjA")</f>
        <v>http://www.youtube.com/channel/UCAWdbmGR8KlYQ1zezsbyCjA</v>
      </c>
      <c r="U342" s="82"/>
      <c r="V342" s="82" t="s">
        <v>2370</v>
      </c>
      <c r="W342" s="87" t="str">
        <f t="shared" si="13"/>
        <v>https://www.youtube.com/watch?v=yBF2fGUO5cQ</v>
      </c>
      <c r="X342" s="82" t="s">
        <v>2384</v>
      </c>
      <c r="Y342" s="82">
        <v>0</v>
      </c>
      <c r="Z342" s="89">
        <v>45295.852789351855</v>
      </c>
      <c r="AA342" s="89">
        <v>45295.852789351855</v>
      </c>
      <c r="AB342" s="82"/>
      <c r="AC342" s="82"/>
      <c r="AD342" s="85" t="s">
        <v>2423</v>
      </c>
      <c r="AE342" s="84" t="str">
        <f>REPLACE(INDEX(GroupVertices[Group],MATCH("~"&amp;Edges[[#This Row],[Vertex 1]],GroupVertices[Vertex],0)),1,1,"")</f>
        <v>1</v>
      </c>
      <c r="AF342" s="84" t="str">
        <f>REPLACE(INDEX(GroupVertices[Group],MATCH("~"&amp;Edges[[#This Row],[Vertex 2]],GroupVertices[Vertex],0)),1,1,"")</f>
        <v>1</v>
      </c>
    </row>
    <row r="343" spans="1:32" ht="15">
      <c r="A343" s="66" t="s">
        <v>520</v>
      </c>
      <c r="B343" s="66" t="s">
        <v>907</v>
      </c>
      <c r="C343" s="67"/>
      <c r="D343" s="68"/>
      <c r="E343" s="69"/>
      <c r="F343" s="70"/>
      <c r="G343" s="67"/>
      <c r="H343" s="71"/>
      <c r="I343" s="72"/>
      <c r="J343" s="72"/>
      <c r="K343" s="35"/>
      <c r="L343" s="80">
        <v>343</v>
      </c>
      <c r="M343" s="80"/>
      <c r="N343" s="74"/>
      <c r="O343" s="82" t="s">
        <v>909</v>
      </c>
      <c r="P343" s="82" t="s">
        <v>197</v>
      </c>
      <c r="Q343" s="85" t="s">
        <v>1249</v>
      </c>
      <c r="R343" s="82" t="s">
        <v>520</v>
      </c>
      <c r="S343" s="82" t="s">
        <v>1986</v>
      </c>
      <c r="T343" s="87" t="str">
        <f>HYPERLINK("http://www.youtube.com/channel/UC7hZa7UORgQvUPtYlCS-bfQ")</f>
        <v>http://www.youtube.com/channel/UC7hZa7UORgQvUPtYlCS-bfQ</v>
      </c>
      <c r="U343" s="82"/>
      <c r="V343" s="82" t="s">
        <v>2370</v>
      </c>
      <c r="W343" s="87" t="str">
        <f t="shared" si="13"/>
        <v>https://www.youtube.com/watch?v=yBF2fGUO5cQ</v>
      </c>
      <c r="X343" s="82" t="s">
        <v>2384</v>
      </c>
      <c r="Y343" s="82">
        <v>0</v>
      </c>
      <c r="Z343" s="89">
        <v>45296.14376157407</v>
      </c>
      <c r="AA343" s="89">
        <v>45296.14376157407</v>
      </c>
      <c r="AB343" s="82"/>
      <c r="AC343" s="82"/>
      <c r="AD343" s="85" t="s">
        <v>2423</v>
      </c>
      <c r="AE343" s="84" t="str">
        <f>REPLACE(INDEX(GroupVertices[Group],MATCH("~"&amp;Edges[[#This Row],[Vertex 1]],GroupVertices[Vertex],0)),1,1,"")</f>
        <v>1</v>
      </c>
      <c r="AF343" s="84" t="str">
        <f>REPLACE(INDEX(GroupVertices[Group],MATCH("~"&amp;Edges[[#This Row],[Vertex 2]],GroupVertices[Vertex],0)),1,1,"")</f>
        <v>1</v>
      </c>
    </row>
    <row r="344" spans="1:32" ht="15">
      <c r="A344" s="66" t="s">
        <v>520</v>
      </c>
      <c r="B344" s="66" t="s">
        <v>907</v>
      </c>
      <c r="C344" s="67"/>
      <c r="D344" s="68"/>
      <c r="E344" s="69"/>
      <c r="F344" s="70"/>
      <c r="G344" s="67"/>
      <c r="H344" s="71"/>
      <c r="I344" s="72"/>
      <c r="J344" s="72"/>
      <c r="K344" s="35"/>
      <c r="L344" s="80">
        <v>344</v>
      </c>
      <c r="M344" s="80"/>
      <c r="N344" s="74"/>
      <c r="O344" s="82" t="s">
        <v>909</v>
      </c>
      <c r="P344" s="82" t="s">
        <v>197</v>
      </c>
      <c r="Q344" s="85" t="s">
        <v>1250</v>
      </c>
      <c r="R344" s="82" t="s">
        <v>520</v>
      </c>
      <c r="S344" s="82" t="s">
        <v>1986</v>
      </c>
      <c r="T344" s="87" t="str">
        <f>HYPERLINK("http://www.youtube.com/channel/UC7hZa7UORgQvUPtYlCS-bfQ")</f>
        <v>http://www.youtube.com/channel/UC7hZa7UORgQvUPtYlCS-bfQ</v>
      </c>
      <c r="U344" s="82"/>
      <c r="V344" s="82" t="s">
        <v>2370</v>
      </c>
      <c r="W344" s="87" t="str">
        <f t="shared" si="13"/>
        <v>https://www.youtube.com/watch?v=yBF2fGUO5cQ</v>
      </c>
      <c r="X344" s="82" t="s">
        <v>2384</v>
      </c>
      <c r="Y344" s="82">
        <v>0</v>
      </c>
      <c r="Z344" s="89">
        <v>45296.150613425925</v>
      </c>
      <c r="AA344" s="89">
        <v>45296.150613425925</v>
      </c>
      <c r="AB344" s="82"/>
      <c r="AC344" s="82"/>
      <c r="AD344" s="85" t="s">
        <v>2423</v>
      </c>
      <c r="AE344" s="84" t="str">
        <f>REPLACE(INDEX(GroupVertices[Group],MATCH("~"&amp;Edges[[#This Row],[Vertex 1]],GroupVertices[Vertex],0)),1,1,"")</f>
        <v>1</v>
      </c>
      <c r="AF344" s="84" t="str">
        <f>REPLACE(INDEX(GroupVertices[Group],MATCH("~"&amp;Edges[[#This Row],[Vertex 2]],GroupVertices[Vertex],0)),1,1,"")</f>
        <v>1</v>
      </c>
    </row>
    <row r="345" spans="1:32" ht="15">
      <c r="A345" s="66" t="s">
        <v>521</v>
      </c>
      <c r="B345" s="66" t="s">
        <v>907</v>
      </c>
      <c r="C345" s="67"/>
      <c r="D345" s="68"/>
      <c r="E345" s="69"/>
      <c r="F345" s="70"/>
      <c r="G345" s="67"/>
      <c r="H345" s="71"/>
      <c r="I345" s="72"/>
      <c r="J345" s="72"/>
      <c r="K345" s="35"/>
      <c r="L345" s="80">
        <v>345</v>
      </c>
      <c r="M345" s="80"/>
      <c r="N345" s="74"/>
      <c r="O345" s="82" t="s">
        <v>909</v>
      </c>
      <c r="P345" s="82" t="s">
        <v>197</v>
      </c>
      <c r="Q345" s="85" t="s">
        <v>1251</v>
      </c>
      <c r="R345" s="82" t="s">
        <v>521</v>
      </c>
      <c r="S345" s="82" t="s">
        <v>1987</v>
      </c>
      <c r="T345" s="87" t="str">
        <f>HYPERLINK("http://www.youtube.com/channel/UCpdSu7jt6FyUY-GcZ5_3QFA")</f>
        <v>http://www.youtube.com/channel/UCpdSu7jt6FyUY-GcZ5_3QFA</v>
      </c>
      <c r="U345" s="82"/>
      <c r="V345" s="82" t="s">
        <v>2370</v>
      </c>
      <c r="W345" s="87" t="str">
        <f t="shared" si="13"/>
        <v>https://www.youtube.com/watch?v=yBF2fGUO5cQ</v>
      </c>
      <c r="X345" s="82" t="s">
        <v>2384</v>
      </c>
      <c r="Y345" s="82">
        <v>0</v>
      </c>
      <c r="Z345" s="89">
        <v>45296.61153935185</v>
      </c>
      <c r="AA345" s="89">
        <v>45296.61153935185</v>
      </c>
      <c r="AB345" s="82"/>
      <c r="AC345" s="82"/>
      <c r="AD345" s="85" t="s">
        <v>2423</v>
      </c>
      <c r="AE345" s="84" t="str">
        <f>REPLACE(INDEX(GroupVertices[Group],MATCH("~"&amp;Edges[[#This Row],[Vertex 1]],GroupVertices[Vertex],0)),1,1,"")</f>
        <v>1</v>
      </c>
      <c r="AF345" s="84" t="str">
        <f>REPLACE(INDEX(GroupVertices[Group],MATCH("~"&amp;Edges[[#This Row],[Vertex 2]],GroupVertices[Vertex],0)),1,1,"")</f>
        <v>1</v>
      </c>
    </row>
    <row r="346" spans="1:32" ht="15">
      <c r="A346" s="66" t="s">
        <v>522</v>
      </c>
      <c r="B346" s="66" t="s">
        <v>907</v>
      </c>
      <c r="C346" s="67"/>
      <c r="D346" s="68"/>
      <c r="E346" s="69"/>
      <c r="F346" s="70"/>
      <c r="G346" s="67"/>
      <c r="H346" s="71"/>
      <c r="I346" s="72"/>
      <c r="J346" s="72"/>
      <c r="K346" s="35"/>
      <c r="L346" s="80">
        <v>346</v>
      </c>
      <c r="M346" s="80"/>
      <c r="N346" s="74"/>
      <c r="O346" s="82" t="s">
        <v>909</v>
      </c>
      <c r="P346" s="82" t="s">
        <v>197</v>
      </c>
      <c r="Q346" s="85" t="s">
        <v>1252</v>
      </c>
      <c r="R346" s="82" t="s">
        <v>522</v>
      </c>
      <c r="S346" s="82" t="s">
        <v>1988</v>
      </c>
      <c r="T346" s="87" t="str">
        <f>HYPERLINK("http://www.youtube.com/channel/UCtXe3QlHDi7F-ojBR9BxjQg")</f>
        <v>http://www.youtube.com/channel/UCtXe3QlHDi7F-ojBR9BxjQg</v>
      </c>
      <c r="U346" s="82"/>
      <c r="V346" s="82" t="s">
        <v>2370</v>
      </c>
      <c r="W346" s="87" t="str">
        <f t="shared" si="13"/>
        <v>https://www.youtube.com/watch?v=yBF2fGUO5cQ</v>
      </c>
      <c r="X346" s="82" t="s">
        <v>2384</v>
      </c>
      <c r="Y346" s="82">
        <v>0</v>
      </c>
      <c r="Z346" s="89">
        <v>45297.06162037037</v>
      </c>
      <c r="AA346" s="89">
        <v>45297.257997685185</v>
      </c>
      <c r="AB346" s="82"/>
      <c r="AC346" s="82"/>
      <c r="AD346" s="85" t="s">
        <v>2423</v>
      </c>
      <c r="AE346" s="84" t="str">
        <f>REPLACE(INDEX(GroupVertices[Group],MATCH("~"&amp;Edges[[#This Row],[Vertex 1]],GroupVertices[Vertex],0)),1,1,"")</f>
        <v>1</v>
      </c>
      <c r="AF346" s="84" t="str">
        <f>REPLACE(INDEX(GroupVertices[Group],MATCH("~"&amp;Edges[[#This Row],[Vertex 2]],GroupVertices[Vertex],0)),1,1,"")</f>
        <v>1</v>
      </c>
    </row>
    <row r="347" spans="1:32" ht="15">
      <c r="A347" s="66" t="s">
        <v>523</v>
      </c>
      <c r="B347" s="66" t="s">
        <v>907</v>
      </c>
      <c r="C347" s="67"/>
      <c r="D347" s="68"/>
      <c r="E347" s="69"/>
      <c r="F347" s="70"/>
      <c r="G347" s="67"/>
      <c r="H347" s="71"/>
      <c r="I347" s="72"/>
      <c r="J347" s="72"/>
      <c r="K347" s="35"/>
      <c r="L347" s="80">
        <v>347</v>
      </c>
      <c r="M347" s="80"/>
      <c r="N347" s="74"/>
      <c r="O347" s="82" t="s">
        <v>909</v>
      </c>
      <c r="P347" s="82" t="s">
        <v>197</v>
      </c>
      <c r="Q347" s="85" t="s">
        <v>1253</v>
      </c>
      <c r="R347" s="82" t="s">
        <v>523</v>
      </c>
      <c r="S347" s="82" t="s">
        <v>1989</v>
      </c>
      <c r="T347" s="87" t="str">
        <f>HYPERLINK("http://www.youtube.com/channel/UCPapQQYB5eJL-CPy7KecNgA")</f>
        <v>http://www.youtube.com/channel/UCPapQQYB5eJL-CPy7KecNgA</v>
      </c>
      <c r="U347" s="82"/>
      <c r="V347" s="82" t="s">
        <v>2370</v>
      </c>
      <c r="W347" s="87" t="str">
        <f t="shared" si="13"/>
        <v>https://www.youtube.com/watch?v=yBF2fGUO5cQ</v>
      </c>
      <c r="X347" s="82" t="s">
        <v>2384</v>
      </c>
      <c r="Y347" s="82">
        <v>0</v>
      </c>
      <c r="Z347" s="89">
        <v>45295.39363425926</v>
      </c>
      <c r="AA347" s="89">
        <v>45295.39363425926</v>
      </c>
      <c r="AB347" s="82"/>
      <c r="AC347" s="82"/>
      <c r="AD347" s="85" t="s">
        <v>2423</v>
      </c>
      <c r="AE347" s="84" t="str">
        <f>REPLACE(INDEX(GroupVertices[Group],MATCH("~"&amp;Edges[[#This Row],[Vertex 1]],GroupVertices[Vertex],0)),1,1,"")</f>
        <v>1</v>
      </c>
      <c r="AF347" s="84" t="str">
        <f>REPLACE(INDEX(GroupVertices[Group],MATCH("~"&amp;Edges[[#This Row],[Vertex 2]],GroupVertices[Vertex],0)),1,1,"")</f>
        <v>1</v>
      </c>
    </row>
    <row r="348" spans="1:32" ht="15">
      <c r="A348" s="66" t="s">
        <v>523</v>
      </c>
      <c r="B348" s="66" t="s">
        <v>907</v>
      </c>
      <c r="C348" s="67"/>
      <c r="D348" s="68"/>
      <c r="E348" s="69"/>
      <c r="F348" s="70"/>
      <c r="G348" s="67"/>
      <c r="H348" s="71"/>
      <c r="I348" s="72"/>
      <c r="J348" s="72"/>
      <c r="K348" s="35"/>
      <c r="L348" s="80">
        <v>348</v>
      </c>
      <c r="M348" s="80"/>
      <c r="N348" s="74"/>
      <c r="O348" s="82" t="s">
        <v>909</v>
      </c>
      <c r="P348" s="82" t="s">
        <v>197</v>
      </c>
      <c r="Q348" s="85" t="s">
        <v>1254</v>
      </c>
      <c r="R348" s="82" t="s">
        <v>523</v>
      </c>
      <c r="S348" s="82" t="s">
        <v>1989</v>
      </c>
      <c r="T348" s="87" t="str">
        <f>HYPERLINK("http://www.youtube.com/channel/UCPapQQYB5eJL-CPy7KecNgA")</f>
        <v>http://www.youtube.com/channel/UCPapQQYB5eJL-CPy7KecNgA</v>
      </c>
      <c r="U348" s="82"/>
      <c r="V348" s="82" t="s">
        <v>2370</v>
      </c>
      <c r="W348" s="87" t="str">
        <f t="shared" si="13"/>
        <v>https://www.youtube.com/watch?v=yBF2fGUO5cQ</v>
      </c>
      <c r="X348" s="82" t="s">
        <v>2384</v>
      </c>
      <c r="Y348" s="82">
        <v>0</v>
      </c>
      <c r="Z348" s="89">
        <v>45305.10246527778</v>
      </c>
      <c r="AA348" s="89">
        <v>45305.10246527778</v>
      </c>
      <c r="AB348" s="82"/>
      <c r="AC348" s="82"/>
      <c r="AD348" s="85" t="s">
        <v>2423</v>
      </c>
      <c r="AE348" s="84" t="str">
        <f>REPLACE(INDEX(GroupVertices[Group],MATCH("~"&amp;Edges[[#This Row],[Vertex 1]],GroupVertices[Vertex],0)),1,1,"")</f>
        <v>1</v>
      </c>
      <c r="AF348" s="84" t="str">
        <f>REPLACE(INDEX(GroupVertices[Group],MATCH("~"&amp;Edges[[#This Row],[Vertex 2]],GroupVertices[Vertex],0)),1,1,"")</f>
        <v>1</v>
      </c>
    </row>
    <row r="349" spans="1:32" ht="15">
      <c r="A349" s="66" t="s">
        <v>524</v>
      </c>
      <c r="B349" s="66" t="s">
        <v>903</v>
      </c>
      <c r="C349" s="67"/>
      <c r="D349" s="68"/>
      <c r="E349" s="69"/>
      <c r="F349" s="70"/>
      <c r="G349" s="67"/>
      <c r="H349" s="71"/>
      <c r="I349" s="72"/>
      <c r="J349" s="72"/>
      <c r="K349" s="35"/>
      <c r="L349" s="80">
        <v>349</v>
      </c>
      <c r="M349" s="80"/>
      <c r="N349" s="74"/>
      <c r="O349" s="82" t="s">
        <v>909</v>
      </c>
      <c r="P349" s="82" t="s">
        <v>197</v>
      </c>
      <c r="Q349" s="85" t="s">
        <v>1255</v>
      </c>
      <c r="R349" s="82" t="s">
        <v>524</v>
      </c>
      <c r="S349" s="82" t="s">
        <v>1990</v>
      </c>
      <c r="T349" s="87" t="str">
        <f>HYPERLINK("http://www.youtube.com/channel/UCPPmvror0xzpZkDBymJddlg")</f>
        <v>http://www.youtube.com/channel/UCPPmvror0xzpZkDBymJddlg</v>
      </c>
      <c r="U349" s="82"/>
      <c r="V349" s="82" t="s">
        <v>2371</v>
      </c>
      <c r="W349" s="87" t="str">
        <f aca="true" t="shared" si="14" ref="W349:W384">HYPERLINK("https://www.youtube.com/watch?v=FdMiVnA6Az0")</f>
        <v>https://www.youtube.com/watch?v=FdMiVnA6Az0</v>
      </c>
      <c r="X349" s="82" t="s">
        <v>2384</v>
      </c>
      <c r="Y349" s="82">
        <v>0</v>
      </c>
      <c r="Z349" s="89">
        <v>45238.87732638889</v>
      </c>
      <c r="AA349" s="89">
        <v>45238.87732638889</v>
      </c>
      <c r="AB349" s="82"/>
      <c r="AC349" s="82"/>
      <c r="AD349" s="85" t="s">
        <v>2423</v>
      </c>
      <c r="AE349" s="84" t="str">
        <f>REPLACE(INDEX(GroupVertices[Group],MATCH("~"&amp;Edges[[#This Row],[Vertex 1]],GroupVertices[Vertex],0)),1,1,"")</f>
        <v>3</v>
      </c>
      <c r="AF349" s="84" t="str">
        <f>REPLACE(INDEX(GroupVertices[Group],MATCH("~"&amp;Edges[[#This Row],[Vertex 2]],GroupVertices[Vertex],0)),1,1,"")</f>
        <v>3</v>
      </c>
    </row>
    <row r="350" spans="1:32" ht="15">
      <c r="A350" s="66" t="s">
        <v>525</v>
      </c>
      <c r="B350" s="66" t="s">
        <v>903</v>
      </c>
      <c r="C350" s="67"/>
      <c r="D350" s="68"/>
      <c r="E350" s="69"/>
      <c r="F350" s="70"/>
      <c r="G350" s="67"/>
      <c r="H350" s="71"/>
      <c r="I350" s="72"/>
      <c r="J350" s="72"/>
      <c r="K350" s="35"/>
      <c r="L350" s="80">
        <v>350</v>
      </c>
      <c r="M350" s="80"/>
      <c r="N350" s="74"/>
      <c r="O350" s="82" t="s">
        <v>909</v>
      </c>
      <c r="P350" s="82" t="s">
        <v>197</v>
      </c>
      <c r="Q350" s="85" t="s">
        <v>1256</v>
      </c>
      <c r="R350" s="82" t="s">
        <v>525</v>
      </c>
      <c r="S350" s="82" t="s">
        <v>1991</v>
      </c>
      <c r="T350" s="87" t="str">
        <f>HYPERLINK("http://www.youtube.com/channel/UCWTBgIN5NsIXRbdIdb7Y9Rg")</f>
        <v>http://www.youtube.com/channel/UCWTBgIN5NsIXRbdIdb7Y9Rg</v>
      </c>
      <c r="U350" s="82"/>
      <c r="V350" s="82" t="s">
        <v>2371</v>
      </c>
      <c r="W350" s="87" t="str">
        <f t="shared" si="14"/>
        <v>https://www.youtube.com/watch?v=FdMiVnA6Az0</v>
      </c>
      <c r="X350" s="82" t="s">
        <v>2384</v>
      </c>
      <c r="Y350" s="82">
        <v>1</v>
      </c>
      <c r="Z350" s="89">
        <v>45239.0021875</v>
      </c>
      <c r="AA350" s="89">
        <v>45239.0021875</v>
      </c>
      <c r="AB350" s="82" t="s">
        <v>2400</v>
      </c>
      <c r="AC350" s="82" t="s">
        <v>2414</v>
      </c>
      <c r="AD350" s="85" t="s">
        <v>2423</v>
      </c>
      <c r="AE350" s="84" t="str">
        <f>REPLACE(INDEX(GroupVertices[Group],MATCH("~"&amp;Edges[[#This Row],[Vertex 1]],GroupVertices[Vertex],0)),1,1,"")</f>
        <v>3</v>
      </c>
      <c r="AF350" s="84" t="str">
        <f>REPLACE(INDEX(GroupVertices[Group],MATCH("~"&amp;Edges[[#This Row],[Vertex 2]],GroupVertices[Vertex],0)),1,1,"")</f>
        <v>3</v>
      </c>
    </row>
    <row r="351" spans="1:32" ht="15">
      <c r="A351" s="66" t="s">
        <v>526</v>
      </c>
      <c r="B351" s="66" t="s">
        <v>903</v>
      </c>
      <c r="C351" s="67"/>
      <c r="D351" s="68"/>
      <c r="E351" s="69"/>
      <c r="F351" s="70"/>
      <c r="G351" s="67"/>
      <c r="H351" s="71"/>
      <c r="I351" s="72"/>
      <c r="J351" s="72"/>
      <c r="K351" s="35"/>
      <c r="L351" s="80">
        <v>351</v>
      </c>
      <c r="M351" s="80"/>
      <c r="N351" s="74"/>
      <c r="O351" s="82" t="s">
        <v>909</v>
      </c>
      <c r="P351" s="82" t="s">
        <v>197</v>
      </c>
      <c r="Q351" s="85" t="s">
        <v>1257</v>
      </c>
      <c r="R351" s="82" t="s">
        <v>526</v>
      </c>
      <c r="S351" s="82" t="s">
        <v>1992</v>
      </c>
      <c r="T351" s="87" t="str">
        <f>HYPERLINK("http://www.youtube.com/channel/UC4ng0FUz_hDpAHEQuGBw1GQ")</f>
        <v>http://www.youtube.com/channel/UC4ng0FUz_hDpAHEQuGBw1GQ</v>
      </c>
      <c r="U351" s="82"/>
      <c r="V351" s="82" t="s">
        <v>2371</v>
      </c>
      <c r="W351" s="87" t="str">
        <f t="shared" si="14"/>
        <v>https://www.youtube.com/watch?v=FdMiVnA6Az0</v>
      </c>
      <c r="X351" s="82" t="s">
        <v>2384</v>
      </c>
      <c r="Y351" s="82">
        <v>0</v>
      </c>
      <c r="Z351" s="89">
        <v>45239.15956018519</v>
      </c>
      <c r="AA351" s="89">
        <v>45239.15956018519</v>
      </c>
      <c r="AB351" s="82"/>
      <c r="AC351" s="82"/>
      <c r="AD351" s="85" t="s">
        <v>2423</v>
      </c>
      <c r="AE351" s="84" t="str">
        <f>REPLACE(INDEX(GroupVertices[Group],MATCH("~"&amp;Edges[[#This Row],[Vertex 1]],GroupVertices[Vertex],0)),1,1,"")</f>
        <v>3</v>
      </c>
      <c r="AF351" s="84" t="str">
        <f>REPLACE(INDEX(GroupVertices[Group],MATCH("~"&amp;Edges[[#This Row],[Vertex 2]],GroupVertices[Vertex],0)),1,1,"")</f>
        <v>3</v>
      </c>
    </row>
    <row r="352" spans="1:32" ht="15">
      <c r="A352" s="66" t="s">
        <v>527</v>
      </c>
      <c r="B352" s="66" t="s">
        <v>903</v>
      </c>
      <c r="C352" s="67"/>
      <c r="D352" s="68"/>
      <c r="E352" s="69"/>
      <c r="F352" s="70"/>
      <c r="G352" s="67"/>
      <c r="H352" s="71"/>
      <c r="I352" s="72"/>
      <c r="J352" s="72"/>
      <c r="K352" s="35"/>
      <c r="L352" s="80">
        <v>352</v>
      </c>
      <c r="M352" s="80"/>
      <c r="N352" s="74"/>
      <c r="O352" s="82" t="s">
        <v>909</v>
      </c>
      <c r="P352" s="82" t="s">
        <v>197</v>
      </c>
      <c r="Q352" s="85" t="s">
        <v>1258</v>
      </c>
      <c r="R352" s="82" t="s">
        <v>527</v>
      </c>
      <c r="S352" s="82" t="s">
        <v>1993</v>
      </c>
      <c r="T352" s="87" t="str">
        <f>HYPERLINK("http://www.youtube.com/channel/UClSjxyfSXkP4KFeczZNVJKQ")</f>
        <v>http://www.youtube.com/channel/UClSjxyfSXkP4KFeczZNVJKQ</v>
      </c>
      <c r="U352" s="82"/>
      <c r="V352" s="82" t="s">
        <v>2371</v>
      </c>
      <c r="W352" s="87" t="str">
        <f t="shared" si="14"/>
        <v>https://www.youtube.com/watch?v=FdMiVnA6Az0</v>
      </c>
      <c r="X352" s="82" t="s">
        <v>2384</v>
      </c>
      <c r="Y352" s="82">
        <v>0</v>
      </c>
      <c r="Z352" s="89">
        <v>45239.23894675926</v>
      </c>
      <c r="AA352" s="89">
        <v>45239.23894675926</v>
      </c>
      <c r="AB352" s="82"/>
      <c r="AC352" s="82"/>
      <c r="AD352" s="85" t="s">
        <v>2423</v>
      </c>
      <c r="AE352" s="84" t="str">
        <f>REPLACE(INDEX(GroupVertices[Group],MATCH("~"&amp;Edges[[#This Row],[Vertex 1]],GroupVertices[Vertex],0)),1,1,"")</f>
        <v>3</v>
      </c>
      <c r="AF352" s="84" t="str">
        <f>REPLACE(INDEX(GroupVertices[Group],MATCH("~"&amp;Edges[[#This Row],[Vertex 2]],GroupVertices[Vertex],0)),1,1,"")</f>
        <v>3</v>
      </c>
    </row>
    <row r="353" spans="1:32" ht="15">
      <c r="A353" s="66" t="s">
        <v>528</v>
      </c>
      <c r="B353" s="66" t="s">
        <v>903</v>
      </c>
      <c r="C353" s="67"/>
      <c r="D353" s="68"/>
      <c r="E353" s="69"/>
      <c r="F353" s="70"/>
      <c r="G353" s="67"/>
      <c r="H353" s="71"/>
      <c r="I353" s="72"/>
      <c r="J353" s="72"/>
      <c r="K353" s="35"/>
      <c r="L353" s="80">
        <v>353</v>
      </c>
      <c r="M353" s="80"/>
      <c r="N353" s="74"/>
      <c r="O353" s="82" t="s">
        <v>909</v>
      </c>
      <c r="P353" s="82" t="s">
        <v>197</v>
      </c>
      <c r="Q353" s="85" t="s">
        <v>1259</v>
      </c>
      <c r="R353" s="82" t="s">
        <v>528</v>
      </c>
      <c r="S353" s="82" t="s">
        <v>1994</v>
      </c>
      <c r="T353" s="87" t="str">
        <f>HYPERLINK("http://www.youtube.com/channel/UCKsuYIqhe1B1GYpVrURibXQ")</f>
        <v>http://www.youtube.com/channel/UCKsuYIqhe1B1GYpVrURibXQ</v>
      </c>
      <c r="U353" s="82"/>
      <c r="V353" s="82" t="s">
        <v>2371</v>
      </c>
      <c r="W353" s="87" t="str">
        <f t="shared" si="14"/>
        <v>https://www.youtube.com/watch?v=FdMiVnA6Az0</v>
      </c>
      <c r="X353" s="82" t="s">
        <v>2384</v>
      </c>
      <c r="Y353" s="82">
        <v>0</v>
      </c>
      <c r="Z353" s="89">
        <v>45239.25681712963</v>
      </c>
      <c r="AA353" s="89">
        <v>45239.25681712963</v>
      </c>
      <c r="AB353" s="82"/>
      <c r="AC353" s="82"/>
      <c r="AD353" s="85" t="s">
        <v>2423</v>
      </c>
      <c r="AE353" s="84" t="str">
        <f>REPLACE(INDEX(GroupVertices[Group],MATCH("~"&amp;Edges[[#This Row],[Vertex 1]],GroupVertices[Vertex],0)),1,1,"")</f>
        <v>3</v>
      </c>
      <c r="AF353" s="84" t="str">
        <f>REPLACE(INDEX(GroupVertices[Group],MATCH("~"&amp;Edges[[#This Row],[Vertex 2]],GroupVertices[Vertex],0)),1,1,"")</f>
        <v>3</v>
      </c>
    </row>
    <row r="354" spans="1:32" ht="15">
      <c r="A354" s="66" t="s">
        <v>529</v>
      </c>
      <c r="B354" s="66" t="s">
        <v>903</v>
      </c>
      <c r="C354" s="67"/>
      <c r="D354" s="68"/>
      <c r="E354" s="69"/>
      <c r="F354" s="70"/>
      <c r="G354" s="67"/>
      <c r="H354" s="71"/>
      <c r="I354" s="72"/>
      <c r="J354" s="72"/>
      <c r="K354" s="35"/>
      <c r="L354" s="80">
        <v>354</v>
      </c>
      <c r="M354" s="80"/>
      <c r="N354" s="74"/>
      <c r="O354" s="82" t="s">
        <v>909</v>
      </c>
      <c r="P354" s="82" t="s">
        <v>197</v>
      </c>
      <c r="Q354" s="85" t="s">
        <v>1260</v>
      </c>
      <c r="R354" s="82" t="s">
        <v>529</v>
      </c>
      <c r="S354" s="82" t="s">
        <v>1995</v>
      </c>
      <c r="T354" s="87" t="str">
        <f>HYPERLINK("http://www.youtube.com/channel/UCRVKZwI7-F-r-IJphjY7Udw")</f>
        <v>http://www.youtube.com/channel/UCRVKZwI7-F-r-IJphjY7Udw</v>
      </c>
      <c r="U354" s="82"/>
      <c r="V354" s="82" t="s">
        <v>2371</v>
      </c>
      <c r="W354" s="87" t="str">
        <f t="shared" si="14"/>
        <v>https://www.youtube.com/watch?v=FdMiVnA6Az0</v>
      </c>
      <c r="X354" s="82" t="s">
        <v>2384</v>
      </c>
      <c r="Y354" s="82">
        <v>1</v>
      </c>
      <c r="Z354" s="89">
        <v>45239.37094907407</v>
      </c>
      <c r="AA354" s="89">
        <v>45239.37094907407</v>
      </c>
      <c r="AB354" s="82"/>
      <c r="AC354" s="82"/>
      <c r="AD354" s="85" t="s">
        <v>2423</v>
      </c>
      <c r="AE354" s="84" t="str">
        <f>REPLACE(INDEX(GroupVertices[Group],MATCH("~"&amp;Edges[[#This Row],[Vertex 1]],GroupVertices[Vertex],0)),1,1,"")</f>
        <v>3</v>
      </c>
      <c r="AF354" s="84" t="str">
        <f>REPLACE(INDEX(GroupVertices[Group],MATCH("~"&amp;Edges[[#This Row],[Vertex 2]],GroupVertices[Vertex],0)),1,1,"")</f>
        <v>3</v>
      </c>
    </row>
    <row r="355" spans="1:32" ht="15">
      <c r="A355" s="66" t="s">
        <v>530</v>
      </c>
      <c r="B355" s="66" t="s">
        <v>903</v>
      </c>
      <c r="C355" s="67"/>
      <c r="D355" s="68"/>
      <c r="E355" s="69"/>
      <c r="F355" s="70"/>
      <c r="G355" s="67"/>
      <c r="H355" s="71"/>
      <c r="I355" s="72"/>
      <c r="J355" s="72"/>
      <c r="K355" s="35"/>
      <c r="L355" s="80">
        <v>355</v>
      </c>
      <c r="M355" s="80"/>
      <c r="N355" s="74"/>
      <c r="O355" s="82" t="s">
        <v>909</v>
      </c>
      <c r="P355" s="82" t="s">
        <v>197</v>
      </c>
      <c r="Q355" s="85" t="s">
        <v>1261</v>
      </c>
      <c r="R355" s="82" t="s">
        <v>530</v>
      </c>
      <c r="S355" s="82" t="s">
        <v>1996</v>
      </c>
      <c r="T355" s="87" t="str">
        <f>HYPERLINK("http://www.youtube.com/channel/UCe-x2nSlR_zJD4wa3SnhHVQ")</f>
        <v>http://www.youtube.com/channel/UCe-x2nSlR_zJD4wa3SnhHVQ</v>
      </c>
      <c r="U355" s="82"/>
      <c r="V355" s="82" t="s">
        <v>2371</v>
      </c>
      <c r="W355" s="87" t="str">
        <f t="shared" si="14"/>
        <v>https://www.youtube.com/watch?v=FdMiVnA6Az0</v>
      </c>
      <c r="X355" s="82" t="s">
        <v>2384</v>
      </c>
      <c r="Y355" s="82">
        <v>1</v>
      </c>
      <c r="Z355" s="89">
        <v>45239.39443287037</v>
      </c>
      <c r="AA355" s="89">
        <v>45239.39443287037</v>
      </c>
      <c r="AB355" s="82"/>
      <c r="AC355" s="82"/>
      <c r="AD355" s="85" t="s">
        <v>2423</v>
      </c>
      <c r="AE355" s="84" t="str">
        <f>REPLACE(INDEX(GroupVertices[Group],MATCH("~"&amp;Edges[[#This Row],[Vertex 1]],GroupVertices[Vertex],0)),1,1,"")</f>
        <v>3</v>
      </c>
      <c r="AF355" s="84" t="str">
        <f>REPLACE(INDEX(GroupVertices[Group],MATCH("~"&amp;Edges[[#This Row],[Vertex 2]],GroupVertices[Vertex],0)),1,1,"")</f>
        <v>3</v>
      </c>
    </row>
    <row r="356" spans="1:32" ht="15">
      <c r="A356" s="66" t="s">
        <v>531</v>
      </c>
      <c r="B356" s="66" t="s">
        <v>903</v>
      </c>
      <c r="C356" s="67"/>
      <c r="D356" s="68"/>
      <c r="E356" s="69"/>
      <c r="F356" s="70"/>
      <c r="G356" s="67"/>
      <c r="H356" s="71"/>
      <c r="I356" s="72"/>
      <c r="J356" s="72"/>
      <c r="K356" s="35"/>
      <c r="L356" s="80">
        <v>356</v>
      </c>
      <c r="M356" s="80"/>
      <c r="N356" s="74"/>
      <c r="O356" s="82" t="s">
        <v>909</v>
      </c>
      <c r="P356" s="82" t="s">
        <v>197</v>
      </c>
      <c r="Q356" s="85" t="s">
        <v>1262</v>
      </c>
      <c r="R356" s="82" t="s">
        <v>531</v>
      </c>
      <c r="S356" s="82" t="s">
        <v>1997</v>
      </c>
      <c r="T356" s="87" t="str">
        <f>HYPERLINK("http://www.youtube.com/channel/UCxZ34QXv1qu0StOapVsVxpA")</f>
        <v>http://www.youtube.com/channel/UCxZ34QXv1qu0StOapVsVxpA</v>
      </c>
      <c r="U356" s="82"/>
      <c r="V356" s="82" t="s">
        <v>2371</v>
      </c>
      <c r="W356" s="87" t="str">
        <f t="shared" si="14"/>
        <v>https://www.youtube.com/watch?v=FdMiVnA6Az0</v>
      </c>
      <c r="X356" s="82" t="s">
        <v>2384</v>
      </c>
      <c r="Y356" s="82">
        <v>0</v>
      </c>
      <c r="Z356" s="89">
        <v>45239.45873842593</v>
      </c>
      <c r="AA356" s="89">
        <v>45239.45873842593</v>
      </c>
      <c r="AB356" s="82"/>
      <c r="AC356" s="82"/>
      <c r="AD356" s="85" t="s">
        <v>2423</v>
      </c>
      <c r="AE356" s="84" t="str">
        <f>REPLACE(INDEX(GroupVertices[Group],MATCH("~"&amp;Edges[[#This Row],[Vertex 1]],GroupVertices[Vertex],0)),1,1,"")</f>
        <v>3</v>
      </c>
      <c r="AF356" s="84" t="str">
        <f>REPLACE(INDEX(GroupVertices[Group],MATCH("~"&amp;Edges[[#This Row],[Vertex 2]],GroupVertices[Vertex],0)),1,1,"")</f>
        <v>3</v>
      </c>
    </row>
    <row r="357" spans="1:32" ht="15">
      <c r="A357" s="66" t="s">
        <v>532</v>
      </c>
      <c r="B357" s="66" t="s">
        <v>903</v>
      </c>
      <c r="C357" s="67"/>
      <c r="D357" s="68"/>
      <c r="E357" s="69"/>
      <c r="F357" s="70"/>
      <c r="G357" s="67"/>
      <c r="H357" s="71"/>
      <c r="I357" s="72"/>
      <c r="J357" s="72"/>
      <c r="K357" s="35"/>
      <c r="L357" s="80">
        <v>357</v>
      </c>
      <c r="M357" s="80"/>
      <c r="N357" s="74"/>
      <c r="O357" s="82" t="s">
        <v>909</v>
      </c>
      <c r="P357" s="82" t="s">
        <v>197</v>
      </c>
      <c r="Q357" s="85" t="s">
        <v>1263</v>
      </c>
      <c r="R357" s="82" t="s">
        <v>532</v>
      </c>
      <c r="S357" s="82" t="s">
        <v>1998</v>
      </c>
      <c r="T357" s="87" t="str">
        <f>HYPERLINK("http://www.youtube.com/channel/UCInFRWIhmYnyFVuPvhANbtQ")</f>
        <v>http://www.youtube.com/channel/UCInFRWIhmYnyFVuPvhANbtQ</v>
      </c>
      <c r="U357" s="82"/>
      <c r="V357" s="82" t="s">
        <v>2371</v>
      </c>
      <c r="W357" s="87" t="str">
        <f t="shared" si="14"/>
        <v>https://www.youtube.com/watch?v=FdMiVnA6Az0</v>
      </c>
      <c r="X357" s="82" t="s">
        <v>2384</v>
      </c>
      <c r="Y357" s="82">
        <v>0</v>
      </c>
      <c r="Z357" s="89">
        <v>45239.46543981481</v>
      </c>
      <c r="AA357" s="89">
        <v>45239.46543981481</v>
      </c>
      <c r="AB357" s="82"/>
      <c r="AC357" s="82"/>
      <c r="AD357" s="85" t="s">
        <v>2423</v>
      </c>
      <c r="AE357" s="84" t="str">
        <f>REPLACE(INDEX(GroupVertices[Group],MATCH("~"&amp;Edges[[#This Row],[Vertex 1]],GroupVertices[Vertex],0)),1,1,"")</f>
        <v>3</v>
      </c>
      <c r="AF357" s="84" t="str">
        <f>REPLACE(INDEX(GroupVertices[Group],MATCH("~"&amp;Edges[[#This Row],[Vertex 2]],GroupVertices[Vertex],0)),1,1,"")</f>
        <v>3</v>
      </c>
    </row>
    <row r="358" spans="1:32" ht="15">
      <c r="A358" s="66" t="s">
        <v>533</v>
      </c>
      <c r="B358" s="66" t="s">
        <v>903</v>
      </c>
      <c r="C358" s="67"/>
      <c r="D358" s="68"/>
      <c r="E358" s="69"/>
      <c r="F358" s="70"/>
      <c r="G358" s="67"/>
      <c r="H358" s="71"/>
      <c r="I358" s="72"/>
      <c r="J358" s="72"/>
      <c r="K358" s="35"/>
      <c r="L358" s="80">
        <v>358</v>
      </c>
      <c r="M358" s="80"/>
      <c r="N358" s="74"/>
      <c r="O358" s="82" t="s">
        <v>909</v>
      </c>
      <c r="P358" s="82" t="s">
        <v>197</v>
      </c>
      <c r="Q358" s="85" t="s">
        <v>1264</v>
      </c>
      <c r="R358" s="82" t="s">
        <v>533</v>
      </c>
      <c r="S358" s="82" t="s">
        <v>1999</v>
      </c>
      <c r="T358" s="87" t="str">
        <f>HYPERLINK("http://www.youtube.com/channel/UC45V4qR59vMfnq9q3-oyQlg")</f>
        <v>http://www.youtube.com/channel/UC45V4qR59vMfnq9q3-oyQlg</v>
      </c>
      <c r="U358" s="82"/>
      <c r="V358" s="82" t="s">
        <v>2371</v>
      </c>
      <c r="W358" s="87" t="str">
        <f t="shared" si="14"/>
        <v>https://www.youtube.com/watch?v=FdMiVnA6Az0</v>
      </c>
      <c r="X358" s="82" t="s">
        <v>2384</v>
      </c>
      <c r="Y358" s="82">
        <v>0</v>
      </c>
      <c r="Z358" s="89">
        <v>45239.75680555555</v>
      </c>
      <c r="AA358" s="89">
        <v>45239.75680555555</v>
      </c>
      <c r="AB358" s="82"/>
      <c r="AC358" s="82"/>
      <c r="AD358" s="85" t="s">
        <v>2423</v>
      </c>
      <c r="AE358" s="84" t="str">
        <f>REPLACE(INDEX(GroupVertices[Group],MATCH("~"&amp;Edges[[#This Row],[Vertex 1]],GroupVertices[Vertex],0)),1,1,"")</f>
        <v>3</v>
      </c>
      <c r="AF358" s="84" t="str">
        <f>REPLACE(INDEX(GroupVertices[Group],MATCH("~"&amp;Edges[[#This Row],[Vertex 2]],GroupVertices[Vertex],0)),1,1,"")</f>
        <v>3</v>
      </c>
    </row>
    <row r="359" spans="1:32" ht="15">
      <c r="A359" s="66" t="s">
        <v>534</v>
      </c>
      <c r="B359" s="66" t="s">
        <v>903</v>
      </c>
      <c r="C359" s="67"/>
      <c r="D359" s="68"/>
      <c r="E359" s="69"/>
      <c r="F359" s="70"/>
      <c r="G359" s="67"/>
      <c r="H359" s="71"/>
      <c r="I359" s="72"/>
      <c r="J359" s="72"/>
      <c r="K359" s="35"/>
      <c r="L359" s="80">
        <v>359</v>
      </c>
      <c r="M359" s="80"/>
      <c r="N359" s="74"/>
      <c r="O359" s="82" t="s">
        <v>909</v>
      </c>
      <c r="P359" s="82" t="s">
        <v>197</v>
      </c>
      <c r="Q359" s="85" t="s">
        <v>1265</v>
      </c>
      <c r="R359" s="82" t="s">
        <v>534</v>
      </c>
      <c r="S359" s="82" t="s">
        <v>2000</v>
      </c>
      <c r="T359" s="87" t="str">
        <f>HYPERLINK("http://www.youtube.com/channel/UC9gUoiR-xCO-j_7ibOzb4Kw")</f>
        <v>http://www.youtube.com/channel/UC9gUoiR-xCO-j_7ibOzb4Kw</v>
      </c>
      <c r="U359" s="82"/>
      <c r="V359" s="82" t="s">
        <v>2371</v>
      </c>
      <c r="W359" s="87" t="str">
        <f t="shared" si="14"/>
        <v>https://www.youtube.com/watch?v=FdMiVnA6Az0</v>
      </c>
      <c r="X359" s="82" t="s">
        <v>2384</v>
      </c>
      <c r="Y359" s="82">
        <v>0</v>
      </c>
      <c r="Z359" s="89">
        <v>45239.776967592596</v>
      </c>
      <c r="AA359" s="89">
        <v>45239.776967592596</v>
      </c>
      <c r="AB359" s="82"/>
      <c r="AC359" s="82"/>
      <c r="AD359" s="85" t="s">
        <v>2423</v>
      </c>
      <c r="AE359" s="84" t="str">
        <f>REPLACE(INDEX(GroupVertices[Group],MATCH("~"&amp;Edges[[#This Row],[Vertex 1]],GroupVertices[Vertex],0)),1,1,"")</f>
        <v>3</v>
      </c>
      <c r="AF359" s="84" t="str">
        <f>REPLACE(INDEX(GroupVertices[Group],MATCH("~"&amp;Edges[[#This Row],[Vertex 2]],GroupVertices[Vertex],0)),1,1,"")</f>
        <v>3</v>
      </c>
    </row>
    <row r="360" spans="1:32" ht="15">
      <c r="A360" s="66" t="s">
        <v>535</v>
      </c>
      <c r="B360" s="66" t="s">
        <v>903</v>
      </c>
      <c r="C360" s="67"/>
      <c r="D360" s="68"/>
      <c r="E360" s="69"/>
      <c r="F360" s="70"/>
      <c r="G360" s="67"/>
      <c r="H360" s="71"/>
      <c r="I360" s="72"/>
      <c r="J360" s="72"/>
      <c r="K360" s="35"/>
      <c r="L360" s="80">
        <v>360</v>
      </c>
      <c r="M360" s="80"/>
      <c r="N360" s="74"/>
      <c r="O360" s="82" t="s">
        <v>909</v>
      </c>
      <c r="P360" s="82" t="s">
        <v>197</v>
      </c>
      <c r="Q360" s="85" t="s">
        <v>1266</v>
      </c>
      <c r="R360" s="82" t="s">
        <v>535</v>
      </c>
      <c r="S360" s="82" t="s">
        <v>2001</v>
      </c>
      <c r="T360" s="87" t="str">
        <f>HYPERLINK("http://www.youtube.com/channel/UCM2asyX07fZpUMDEJTp3h-w")</f>
        <v>http://www.youtube.com/channel/UCM2asyX07fZpUMDEJTp3h-w</v>
      </c>
      <c r="U360" s="82"/>
      <c r="V360" s="82" t="s">
        <v>2371</v>
      </c>
      <c r="W360" s="87" t="str">
        <f t="shared" si="14"/>
        <v>https://www.youtube.com/watch?v=FdMiVnA6Az0</v>
      </c>
      <c r="X360" s="82" t="s">
        <v>2384</v>
      </c>
      <c r="Y360" s="82">
        <v>0</v>
      </c>
      <c r="Z360" s="89">
        <v>45239.783587962964</v>
      </c>
      <c r="AA360" s="89">
        <v>45239.783587962964</v>
      </c>
      <c r="AB360" s="82"/>
      <c r="AC360" s="82"/>
      <c r="AD360" s="85" t="s">
        <v>2423</v>
      </c>
      <c r="AE360" s="84" t="str">
        <f>REPLACE(INDEX(GroupVertices[Group],MATCH("~"&amp;Edges[[#This Row],[Vertex 1]],GroupVertices[Vertex],0)),1,1,"")</f>
        <v>3</v>
      </c>
      <c r="AF360" s="84" t="str">
        <f>REPLACE(INDEX(GroupVertices[Group],MATCH("~"&amp;Edges[[#This Row],[Vertex 2]],GroupVertices[Vertex],0)),1,1,"")</f>
        <v>3</v>
      </c>
    </row>
    <row r="361" spans="1:32" ht="15">
      <c r="A361" s="66" t="s">
        <v>536</v>
      </c>
      <c r="B361" s="66" t="s">
        <v>903</v>
      </c>
      <c r="C361" s="67"/>
      <c r="D361" s="68"/>
      <c r="E361" s="69"/>
      <c r="F361" s="70"/>
      <c r="G361" s="67"/>
      <c r="H361" s="71"/>
      <c r="I361" s="72"/>
      <c r="J361" s="72"/>
      <c r="K361" s="35"/>
      <c r="L361" s="80">
        <v>361</v>
      </c>
      <c r="M361" s="80"/>
      <c r="N361" s="74"/>
      <c r="O361" s="82" t="s">
        <v>909</v>
      </c>
      <c r="P361" s="82" t="s">
        <v>197</v>
      </c>
      <c r="Q361" s="85" t="s">
        <v>1267</v>
      </c>
      <c r="R361" s="82" t="s">
        <v>536</v>
      </c>
      <c r="S361" s="82" t="s">
        <v>2002</v>
      </c>
      <c r="T361" s="87" t="str">
        <f>HYPERLINK("http://www.youtube.com/channel/UCHTCV90UFDxZ7i0RKRCi3Zw")</f>
        <v>http://www.youtube.com/channel/UCHTCV90UFDxZ7i0RKRCi3Zw</v>
      </c>
      <c r="U361" s="82"/>
      <c r="V361" s="82" t="s">
        <v>2371</v>
      </c>
      <c r="W361" s="87" t="str">
        <f t="shared" si="14"/>
        <v>https://www.youtube.com/watch?v=FdMiVnA6Az0</v>
      </c>
      <c r="X361" s="82" t="s">
        <v>2384</v>
      </c>
      <c r="Y361" s="82">
        <v>0</v>
      </c>
      <c r="Z361" s="89">
        <v>45239.92644675926</v>
      </c>
      <c r="AA361" s="89">
        <v>45239.92644675926</v>
      </c>
      <c r="AB361" s="82"/>
      <c r="AC361" s="82"/>
      <c r="AD361" s="85" t="s">
        <v>2423</v>
      </c>
      <c r="AE361" s="84" t="str">
        <f>REPLACE(INDEX(GroupVertices[Group],MATCH("~"&amp;Edges[[#This Row],[Vertex 1]],GroupVertices[Vertex],0)),1,1,"")</f>
        <v>3</v>
      </c>
      <c r="AF361" s="84" t="str">
        <f>REPLACE(INDEX(GroupVertices[Group],MATCH("~"&amp;Edges[[#This Row],[Vertex 2]],GroupVertices[Vertex],0)),1,1,"")</f>
        <v>3</v>
      </c>
    </row>
    <row r="362" spans="1:32" ht="15">
      <c r="A362" s="66" t="s">
        <v>537</v>
      </c>
      <c r="B362" s="66" t="s">
        <v>903</v>
      </c>
      <c r="C362" s="67"/>
      <c r="D362" s="68"/>
      <c r="E362" s="69"/>
      <c r="F362" s="70"/>
      <c r="G362" s="67"/>
      <c r="H362" s="71"/>
      <c r="I362" s="72"/>
      <c r="J362" s="72"/>
      <c r="K362" s="35"/>
      <c r="L362" s="80">
        <v>362</v>
      </c>
      <c r="M362" s="80"/>
      <c r="N362" s="74"/>
      <c r="O362" s="82" t="s">
        <v>909</v>
      </c>
      <c r="P362" s="82" t="s">
        <v>197</v>
      </c>
      <c r="Q362" s="85" t="s">
        <v>1268</v>
      </c>
      <c r="R362" s="82" t="s">
        <v>537</v>
      </c>
      <c r="S362" s="82" t="s">
        <v>2003</v>
      </c>
      <c r="T362" s="87" t="str">
        <f>HYPERLINK("http://www.youtube.com/channel/UC5gP-UK-5mQ5SYHsftRMrFg")</f>
        <v>http://www.youtube.com/channel/UC5gP-UK-5mQ5SYHsftRMrFg</v>
      </c>
      <c r="U362" s="82"/>
      <c r="V362" s="82" t="s">
        <v>2371</v>
      </c>
      <c r="W362" s="87" t="str">
        <f t="shared" si="14"/>
        <v>https://www.youtube.com/watch?v=FdMiVnA6Az0</v>
      </c>
      <c r="X362" s="82" t="s">
        <v>2384</v>
      </c>
      <c r="Y362" s="82">
        <v>0</v>
      </c>
      <c r="Z362" s="89">
        <v>45240.06101851852</v>
      </c>
      <c r="AA362" s="89">
        <v>45240.06101851852</v>
      </c>
      <c r="AB362" s="82"/>
      <c r="AC362" s="82"/>
      <c r="AD362" s="85" t="s">
        <v>2423</v>
      </c>
      <c r="AE362" s="84" t="str">
        <f>REPLACE(INDEX(GroupVertices[Group],MATCH("~"&amp;Edges[[#This Row],[Vertex 1]],GroupVertices[Vertex],0)),1,1,"")</f>
        <v>3</v>
      </c>
      <c r="AF362" s="84" t="str">
        <f>REPLACE(INDEX(GroupVertices[Group],MATCH("~"&amp;Edges[[#This Row],[Vertex 2]],GroupVertices[Vertex],0)),1,1,"")</f>
        <v>3</v>
      </c>
    </row>
    <row r="363" spans="1:32" ht="15">
      <c r="A363" s="66" t="s">
        <v>538</v>
      </c>
      <c r="B363" s="66" t="s">
        <v>903</v>
      </c>
      <c r="C363" s="67"/>
      <c r="D363" s="68"/>
      <c r="E363" s="69"/>
      <c r="F363" s="70"/>
      <c r="G363" s="67"/>
      <c r="H363" s="71"/>
      <c r="I363" s="72"/>
      <c r="J363" s="72"/>
      <c r="K363" s="35"/>
      <c r="L363" s="80">
        <v>363</v>
      </c>
      <c r="M363" s="80"/>
      <c r="N363" s="74"/>
      <c r="O363" s="82" t="s">
        <v>909</v>
      </c>
      <c r="P363" s="82" t="s">
        <v>197</v>
      </c>
      <c r="Q363" s="85" t="s">
        <v>1269</v>
      </c>
      <c r="R363" s="82" t="s">
        <v>538</v>
      </c>
      <c r="S363" s="82" t="s">
        <v>2004</v>
      </c>
      <c r="T363" s="87" t="str">
        <f>HYPERLINK("http://www.youtube.com/channel/UCh2fWNYGetPHQu4pDzk_OTQ")</f>
        <v>http://www.youtube.com/channel/UCh2fWNYGetPHQu4pDzk_OTQ</v>
      </c>
      <c r="U363" s="82"/>
      <c r="V363" s="82" t="s">
        <v>2371</v>
      </c>
      <c r="W363" s="87" t="str">
        <f t="shared" si="14"/>
        <v>https://www.youtube.com/watch?v=FdMiVnA6Az0</v>
      </c>
      <c r="X363" s="82" t="s">
        <v>2384</v>
      </c>
      <c r="Y363" s="82">
        <v>0</v>
      </c>
      <c r="Z363" s="89">
        <v>45240.07953703704</v>
      </c>
      <c r="AA363" s="89">
        <v>45240.07953703704</v>
      </c>
      <c r="AB363" s="82"/>
      <c r="AC363" s="82"/>
      <c r="AD363" s="85" t="s">
        <v>2423</v>
      </c>
      <c r="AE363" s="84" t="str">
        <f>REPLACE(INDEX(GroupVertices[Group],MATCH("~"&amp;Edges[[#This Row],[Vertex 1]],GroupVertices[Vertex],0)),1,1,"")</f>
        <v>3</v>
      </c>
      <c r="AF363" s="84" t="str">
        <f>REPLACE(INDEX(GroupVertices[Group],MATCH("~"&amp;Edges[[#This Row],[Vertex 2]],GroupVertices[Vertex],0)),1,1,"")</f>
        <v>3</v>
      </c>
    </row>
    <row r="364" spans="1:32" ht="15">
      <c r="A364" s="66" t="s">
        <v>539</v>
      </c>
      <c r="B364" s="66" t="s">
        <v>903</v>
      </c>
      <c r="C364" s="67"/>
      <c r="D364" s="68"/>
      <c r="E364" s="69"/>
      <c r="F364" s="70"/>
      <c r="G364" s="67"/>
      <c r="H364" s="71"/>
      <c r="I364" s="72"/>
      <c r="J364" s="72"/>
      <c r="K364" s="35"/>
      <c r="L364" s="80">
        <v>364</v>
      </c>
      <c r="M364" s="80"/>
      <c r="N364" s="74"/>
      <c r="O364" s="82" t="s">
        <v>909</v>
      </c>
      <c r="P364" s="82" t="s">
        <v>197</v>
      </c>
      <c r="Q364" s="85" t="s">
        <v>1270</v>
      </c>
      <c r="R364" s="82" t="s">
        <v>539</v>
      </c>
      <c r="S364" s="82" t="s">
        <v>2005</v>
      </c>
      <c r="T364" s="87" t="str">
        <f>HYPERLINK("http://www.youtube.com/channel/UCxCUd5fdFRrEwVu1zhXko4g")</f>
        <v>http://www.youtube.com/channel/UCxCUd5fdFRrEwVu1zhXko4g</v>
      </c>
      <c r="U364" s="82"/>
      <c r="V364" s="82" t="s">
        <v>2371</v>
      </c>
      <c r="W364" s="87" t="str">
        <f t="shared" si="14"/>
        <v>https://www.youtube.com/watch?v=FdMiVnA6Az0</v>
      </c>
      <c r="X364" s="82" t="s">
        <v>2384</v>
      </c>
      <c r="Y364" s="82">
        <v>0</v>
      </c>
      <c r="Z364" s="89">
        <v>45240.08719907407</v>
      </c>
      <c r="AA364" s="89">
        <v>45240.08719907407</v>
      </c>
      <c r="AB364" s="82"/>
      <c r="AC364" s="82"/>
      <c r="AD364" s="85" t="s">
        <v>2423</v>
      </c>
      <c r="AE364" s="84" t="str">
        <f>REPLACE(INDEX(GroupVertices[Group],MATCH("~"&amp;Edges[[#This Row],[Vertex 1]],GroupVertices[Vertex],0)),1,1,"")</f>
        <v>3</v>
      </c>
      <c r="AF364" s="84" t="str">
        <f>REPLACE(INDEX(GroupVertices[Group],MATCH("~"&amp;Edges[[#This Row],[Vertex 2]],GroupVertices[Vertex],0)),1,1,"")</f>
        <v>3</v>
      </c>
    </row>
    <row r="365" spans="1:32" ht="15">
      <c r="A365" s="66" t="s">
        <v>540</v>
      </c>
      <c r="B365" s="66" t="s">
        <v>903</v>
      </c>
      <c r="C365" s="67"/>
      <c r="D365" s="68"/>
      <c r="E365" s="69"/>
      <c r="F365" s="70"/>
      <c r="G365" s="67"/>
      <c r="H365" s="71"/>
      <c r="I365" s="72"/>
      <c r="J365" s="72"/>
      <c r="K365" s="35"/>
      <c r="L365" s="80">
        <v>365</v>
      </c>
      <c r="M365" s="80"/>
      <c r="N365" s="74"/>
      <c r="O365" s="82" t="s">
        <v>909</v>
      </c>
      <c r="P365" s="82" t="s">
        <v>197</v>
      </c>
      <c r="Q365" s="85" t="s">
        <v>1271</v>
      </c>
      <c r="R365" s="82" t="s">
        <v>540</v>
      </c>
      <c r="S365" s="82" t="s">
        <v>2006</v>
      </c>
      <c r="T365" s="87" t="str">
        <f>HYPERLINK("http://www.youtube.com/channel/UCetkfsaTdd_kc_OIWgZgi-w")</f>
        <v>http://www.youtube.com/channel/UCetkfsaTdd_kc_OIWgZgi-w</v>
      </c>
      <c r="U365" s="82"/>
      <c r="V365" s="82" t="s">
        <v>2371</v>
      </c>
      <c r="W365" s="87" t="str">
        <f t="shared" si="14"/>
        <v>https://www.youtube.com/watch?v=FdMiVnA6Az0</v>
      </c>
      <c r="X365" s="82" t="s">
        <v>2384</v>
      </c>
      <c r="Y365" s="82">
        <v>0</v>
      </c>
      <c r="Z365" s="89">
        <v>45240.24925925926</v>
      </c>
      <c r="AA365" s="89">
        <v>45240.24925925926</v>
      </c>
      <c r="AB365" s="82"/>
      <c r="AC365" s="82"/>
      <c r="AD365" s="85" t="s">
        <v>2423</v>
      </c>
      <c r="AE365" s="84" t="str">
        <f>REPLACE(INDEX(GroupVertices[Group],MATCH("~"&amp;Edges[[#This Row],[Vertex 1]],GroupVertices[Vertex],0)),1,1,"")</f>
        <v>3</v>
      </c>
      <c r="AF365" s="84" t="str">
        <f>REPLACE(INDEX(GroupVertices[Group],MATCH("~"&amp;Edges[[#This Row],[Vertex 2]],GroupVertices[Vertex],0)),1,1,"")</f>
        <v>3</v>
      </c>
    </row>
    <row r="366" spans="1:32" ht="15">
      <c r="A366" s="66" t="s">
        <v>541</v>
      </c>
      <c r="B366" s="66" t="s">
        <v>903</v>
      </c>
      <c r="C366" s="67"/>
      <c r="D366" s="68"/>
      <c r="E366" s="69"/>
      <c r="F366" s="70"/>
      <c r="G366" s="67"/>
      <c r="H366" s="71"/>
      <c r="I366" s="72"/>
      <c r="J366" s="72"/>
      <c r="K366" s="35"/>
      <c r="L366" s="80">
        <v>366</v>
      </c>
      <c r="M366" s="80"/>
      <c r="N366" s="74"/>
      <c r="O366" s="82" t="s">
        <v>909</v>
      </c>
      <c r="P366" s="82" t="s">
        <v>197</v>
      </c>
      <c r="Q366" s="85" t="s">
        <v>1272</v>
      </c>
      <c r="R366" s="82" t="s">
        <v>541</v>
      </c>
      <c r="S366" s="82" t="s">
        <v>2007</v>
      </c>
      <c r="T366" s="87" t="str">
        <f>HYPERLINK("http://www.youtube.com/channel/UCk2ofMoMFyrWG7Ptx0yUwqA")</f>
        <v>http://www.youtube.com/channel/UCk2ofMoMFyrWG7Ptx0yUwqA</v>
      </c>
      <c r="U366" s="82"/>
      <c r="V366" s="82" t="s">
        <v>2371</v>
      </c>
      <c r="W366" s="87" t="str">
        <f t="shared" si="14"/>
        <v>https://www.youtube.com/watch?v=FdMiVnA6Az0</v>
      </c>
      <c r="X366" s="82" t="s">
        <v>2384</v>
      </c>
      <c r="Y366" s="82">
        <v>1</v>
      </c>
      <c r="Z366" s="89">
        <v>45240.29372685185</v>
      </c>
      <c r="AA366" s="89">
        <v>45240.29372685185</v>
      </c>
      <c r="AB366" s="82"/>
      <c r="AC366" s="82"/>
      <c r="AD366" s="85" t="s">
        <v>2423</v>
      </c>
      <c r="AE366" s="84" t="str">
        <f>REPLACE(INDEX(GroupVertices[Group],MATCH("~"&amp;Edges[[#This Row],[Vertex 1]],GroupVertices[Vertex],0)),1,1,"")</f>
        <v>3</v>
      </c>
      <c r="AF366" s="84" t="str">
        <f>REPLACE(INDEX(GroupVertices[Group],MATCH("~"&amp;Edges[[#This Row],[Vertex 2]],GroupVertices[Vertex],0)),1,1,"")</f>
        <v>3</v>
      </c>
    </row>
    <row r="367" spans="1:32" ht="15">
      <c r="A367" s="66" t="s">
        <v>542</v>
      </c>
      <c r="B367" s="66" t="s">
        <v>903</v>
      </c>
      <c r="C367" s="67"/>
      <c r="D367" s="68"/>
      <c r="E367" s="69"/>
      <c r="F367" s="70"/>
      <c r="G367" s="67"/>
      <c r="H367" s="71"/>
      <c r="I367" s="72"/>
      <c r="J367" s="72"/>
      <c r="K367" s="35"/>
      <c r="L367" s="80">
        <v>367</v>
      </c>
      <c r="M367" s="80"/>
      <c r="N367" s="74"/>
      <c r="O367" s="82" t="s">
        <v>909</v>
      </c>
      <c r="P367" s="82" t="s">
        <v>197</v>
      </c>
      <c r="Q367" s="85" t="s">
        <v>1273</v>
      </c>
      <c r="R367" s="82" t="s">
        <v>542</v>
      </c>
      <c r="S367" s="82" t="s">
        <v>2008</v>
      </c>
      <c r="T367" s="87" t="str">
        <f>HYPERLINK("http://www.youtube.com/channel/UCt70dbIi4pjz4rps4GzhXfw")</f>
        <v>http://www.youtube.com/channel/UCt70dbIi4pjz4rps4GzhXfw</v>
      </c>
      <c r="U367" s="82"/>
      <c r="V367" s="82" t="s">
        <v>2371</v>
      </c>
      <c r="W367" s="87" t="str">
        <f t="shared" si="14"/>
        <v>https://www.youtube.com/watch?v=FdMiVnA6Az0</v>
      </c>
      <c r="X367" s="82" t="s">
        <v>2384</v>
      </c>
      <c r="Y367" s="82">
        <v>0</v>
      </c>
      <c r="Z367" s="89">
        <v>45240.404270833336</v>
      </c>
      <c r="AA367" s="89">
        <v>45240.404270833336</v>
      </c>
      <c r="AB367" s="82" t="s">
        <v>2401</v>
      </c>
      <c r="AC367" s="82" t="s">
        <v>2420</v>
      </c>
      <c r="AD367" s="85" t="s">
        <v>2423</v>
      </c>
      <c r="AE367" s="84" t="str">
        <f>REPLACE(INDEX(GroupVertices[Group],MATCH("~"&amp;Edges[[#This Row],[Vertex 1]],GroupVertices[Vertex],0)),1,1,"")</f>
        <v>3</v>
      </c>
      <c r="AF367" s="84" t="str">
        <f>REPLACE(INDEX(GroupVertices[Group],MATCH("~"&amp;Edges[[#This Row],[Vertex 2]],GroupVertices[Vertex],0)),1,1,"")</f>
        <v>3</v>
      </c>
    </row>
    <row r="368" spans="1:32" ht="15">
      <c r="A368" s="66" t="s">
        <v>543</v>
      </c>
      <c r="B368" s="66" t="s">
        <v>903</v>
      </c>
      <c r="C368" s="67"/>
      <c r="D368" s="68"/>
      <c r="E368" s="69"/>
      <c r="F368" s="70"/>
      <c r="G368" s="67"/>
      <c r="H368" s="71"/>
      <c r="I368" s="72"/>
      <c r="J368" s="72"/>
      <c r="K368" s="35"/>
      <c r="L368" s="80">
        <v>368</v>
      </c>
      <c r="M368" s="80"/>
      <c r="N368" s="74"/>
      <c r="O368" s="82" t="s">
        <v>909</v>
      </c>
      <c r="P368" s="82" t="s">
        <v>197</v>
      </c>
      <c r="Q368" s="85" t="s">
        <v>1274</v>
      </c>
      <c r="R368" s="82" t="s">
        <v>543</v>
      </c>
      <c r="S368" s="82" t="s">
        <v>2009</v>
      </c>
      <c r="T368" s="87" t="str">
        <f>HYPERLINK("http://www.youtube.com/channel/UCDmWmsLkzHNkRyXpF1G_wKg")</f>
        <v>http://www.youtube.com/channel/UCDmWmsLkzHNkRyXpF1G_wKg</v>
      </c>
      <c r="U368" s="82"/>
      <c r="V368" s="82" t="s">
        <v>2371</v>
      </c>
      <c r="W368" s="87" t="str">
        <f t="shared" si="14"/>
        <v>https://www.youtube.com/watch?v=FdMiVnA6Az0</v>
      </c>
      <c r="X368" s="82" t="s">
        <v>2384</v>
      </c>
      <c r="Y368" s="82">
        <v>0</v>
      </c>
      <c r="Z368" s="89">
        <v>45240.54819444445</v>
      </c>
      <c r="AA368" s="89">
        <v>45240.54819444445</v>
      </c>
      <c r="AB368" s="82"/>
      <c r="AC368" s="82"/>
      <c r="AD368" s="85" t="s">
        <v>2423</v>
      </c>
      <c r="AE368" s="84" t="str">
        <f>REPLACE(INDEX(GroupVertices[Group],MATCH("~"&amp;Edges[[#This Row],[Vertex 1]],GroupVertices[Vertex],0)),1,1,"")</f>
        <v>3</v>
      </c>
      <c r="AF368" s="84" t="str">
        <f>REPLACE(INDEX(GroupVertices[Group],MATCH("~"&amp;Edges[[#This Row],[Vertex 2]],GroupVertices[Vertex],0)),1,1,"")</f>
        <v>3</v>
      </c>
    </row>
    <row r="369" spans="1:32" ht="15">
      <c r="A369" s="66" t="s">
        <v>544</v>
      </c>
      <c r="B369" s="66" t="s">
        <v>903</v>
      </c>
      <c r="C369" s="67"/>
      <c r="D369" s="68"/>
      <c r="E369" s="69"/>
      <c r="F369" s="70"/>
      <c r="G369" s="67"/>
      <c r="H369" s="71"/>
      <c r="I369" s="72"/>
      <c r="J369" s="72"/>
      <c r="K369" s="35"/>
      <c r="L369" s="80">
        <v>369</v>
      </c>
      <c r="M369" s="80"/>
      <c r="N369" s="74"/>
      <c r="O369" s="82" t="s">
        <v>909</v>
      </c>
      <c r="P369" s="82" t="s">
        <v>197</v>
      </c>
      <c r="Q369" s="85" t="s">
        <v>1275</v>
      </c>
      <c r="R369" s="82" t="s">
        <v>544</v>
      </c>
      <c r="S369" s="82" t="s">
        <v>2010</v>
      </c>
      <c r="T369" s="87" t="str">
        <f>HYPERLINK("http://www.youtube.com/channel/UCMBjST-WDzXZ2nb5rRtbxjw")</f>
        <v>http://www.youtube.com/channel/UCMBjST-WDzXZ2nb5rRtbxjw</v>
      </c>
      <c r="U369" s="82"/>
      <c r="V369" s="82" t="s">
        <v>2371</v>
      </c>
      <c r="W369" s="87" t="str">
        <f t="shared" si="14"/>
        <v>https://www.youtube.com/watch?v=FdMiVnA6Az0</v>
      </c>
      <c r="X369" s="82" t="s">
        <v>2384</v>
      </c>
      <c r="Y369" s="82">
        <v>0</v>
      </c>
      <c r="Z369" s="89">
        <v>45240.67309027778</v>
      </c>
      <c r="AA369" s="89">
        <v>45240.67309027778</v>
      </c>
      <c r="AB369" s="82"/>
      <c r="AC369" s="82"/>
      <c r="AD369" s="85" t="s">
        <v>2423</v>
      </c>
      <c r="AE369" s="84" t="str">
        <f>REPLACE(INDEX(GroupVertices[Group],MATCH("~"&amp;Edges[[#This Row],[Vertex 1]],GroupVertices[Vertex],0)),1,1,"")</f>
        <v>3</v>
      </c>
      <c r="AF369" s="84" t="str">
        <f>REPLACE(INDEX(GroupVertices[Group],MATCH("~"&amp;Edges[[#This Row],[Vertex 2]],GroupVertices[Vertex],0)),1,1,"")</f>
        <v>3</v>
      </c>
    </row>
    <row r="370" spans="1:32" ht="15">
      <c r="A370" s="66" t="s">
        <v>545</v>
      </c>
      <c r="B370" s="66" t="s">
        <v>903</v>
      </c>
      <c r="C370" s="67"/>
      <c r="D370" s="68"/>
      <c r="E370" s="69"/>
      <c r="F370" s="70"/>
      <c r="G370" s="67"/>
      <c r="H370" s="71"/>
      <c r="I370" s="72"/>
      <c r="J370" s="72"/>
      <c r="K370" s="35"/>
      <c r="L370" s="80">
        <v>370</v>
      </c>
      <c r="M370" s="80"/>
      <c r="N370" s="74"/>
      <c r="O370" s="82" t="s">
        <v>909</v>
      </c>
      <c r="P370" s="82" t="s">
        <v>197</v>
      </c>
      <c r="Q370" s="85" t="s">
        <v>1276</v>
      </c>
      <c r="R370" s="82" t="s">
        <v>545</v>
      </c>
      <c r="S370" s="82" t="s">
        <v>2011</v>
      </c>
      <c r="T370" s="87" t="str">
        <f>HYPERLINK("http://www.youtube.com/channel/UCEy1eBC1Y-svoyQmPhTFyYg")</f>
        <v>http://www.youtube.com/channel/UCEy1eBC1Y-svoyQmPhTFyYg</v>
      </c>
      <c r="U370" s="82"/>
      <c r="V370" s="82" t="s">
        <v>2371</v>
      </c>
      <c r="W370" s="87" t="str">
        <f t="shared" si="14"/>
        <v>https://www.youtube.com/watch?v=FdMiVnA6Az0</v>
      </c>
      <c r="X370" s="82" t="s">
        <v>2384</v>
      </c>
      <c r="Y370" s="82">
        <v>0</v>
      </c>
      <c r="Z370" s="89">
        <v>45240.741736111115</v>
      </c>
      <c r="AA370" s="89">
        <v>45240.741736111115</v>
      </c>
      <c r="AB370" s="82"/>
      <c r="AC370" s="82"/>
      <c r="AD370" s="85" t="s">
        <v>2423</v>
      </c>
      <c r="AE370" s="84" t="str">
        <f>REPLACE(INDEX(GroupVertices[Group],MATCH("~"&amp;Edges[[#This Row],[Vertex 1]],GroupVertices[Vertex],0)),1,1,"")</f>
        <v>3</v>
      </c>
      <c r="AF370" s="84" t="str">
        <f>REPLACE(INDEX(GroupVertices[Group],MATCH("~"&amp;Edges[[#This Row],[Vertex 2]],GroupVertices[Vertex],0)),1,1,"")</f>
        <v>3</v>
      </c>
    </row>
    <row r="371" spans="1:32" ht="15">
      <c r="A371" s="66" t="s">
        <v>546</v>
      </c>
      <c r="B371" s="66" t="s">
        <v>903</v>
      </c>
      <c r="C371" s="67"/>
      <c r="D371" s="68"/>
      <c r="E371" s="69"/>
      <c r="F371" s="70"/>
      <c r="G371" s="67"/>
      <c r="H371" s="71"/>
      <c r="I371" s="72"/>
      <c r="J371" s="72"/>
      <c r="K371" s="35"/>
      <c r="L371" s="80">
        <v>371</v>
      </c>
      <c r="M371" s="80"/>
      <c r="N371" s="74"/>
      <c r="O371" s="82" t="s">
        <v>909</v>
      </c>
      <c r="P371" s="82" t="s">
        <v>197</v>
      </c>
      <c r="Q371" s="85" t="s">
        <v>1277</v>
      </c>
      <c r="R371" s="82" t="s">
        <v>546</v>
      </c>
      <c r="S371" s="82" t="s">
        <v>2012</v>
      </c>
      <c r="T371" s="87" t="str">
        <f>HYPERLINK("http://www.youtube.com/channel/UCE-X03N-Fx5V-CIuJmY_-ig")</f>
        <v>http://www.youtube.com/channel/UCE-X03N-Fx5V-CIuJmY_-ig</v>
      </c>
      <c r="U371" s="82"/>
      <c r="V371" s="82" t="s">
        <v>2371</v>
      </c>
      <c r="W371" s="87" t="str">
        <f t="shared" si="14"/>
        <v>https://www.youtube.com/watch?v=FdMiVnA6Az0</v>
      </c>
      <c r="X371" s="82" t="s">
        <v>2384</v>
      </c>
      <c r="Y371" s="82">
        <v>0</v>
      </c>
      <c r="Z371" s="89">
        <v>45240.82210648148</v>
      </c>
      <c r="AA371" s="89">
        <v>45240.82210648148</v>
      </c>
      <c r="AB371" s="82"/>
      <c r="AC371" s="82"/>
      <c r="AD371" s="85" t="s">
        <v>2423</v>
      </c>
      <c r="AE371" s="84" t="str">
        <f>REPLACE(INDEX(GroupVertices[Group],MATCH("~"&amp;Edges[[#This Row],[Vertex 1]],GroupVertices[Vertex],0)),1,1,"")</f>
        <v>3</v>
      </c>
      <c r="AF371" s="84" t="str">
        <f>REPLACE(INDEX(GroupVertices[Group],MATCH("~"&amp;Edges[[#This Row],[Vertex 2]],GroupVertices[Vertex],0)),1,1,"")</f>
        <v>3</v>
      </c>
    </row>
    <row r="372" spans="1:32" ht="15">
      <c r="A372" s="66" t="s">
        <v>547</v>
      </c>
      <c r="B372" s="66" t="s">
        <v>903</v>
      </c>
      <c r="C372" s="67"/>
      <c r="D372" s="68"/>
      <c r="E372" s="69"/>
      <c r="F372" s="70"/>
      <c r="G372" s="67"/>
      <c r="H372" s="71"/>
      <c r="I372" s="72"/>
      <c r="J372" s="72"/>
      <c r="K372" s="35"/>
      <c r="L372" s="80">
        <v>372</v>
      </c>
      <c r="M372" s="80"/>
      <c r="N372" s="74"/>
      <c r="O372" s="82" t="s">
        <v>909</v>
      </c>
      <c r="P372" s="82" t="s">
        <v>197</v>
      </c>
      <c r="Q372" s="85" t="s">
        <v>1278</v>
      </c>
      <c r="R372" s="82" t="s">
        <v>547</v>
      </c>
      <c r="S372" s="82" t="s">
        <v>2013</v>
      </c>
      <c r="T372" s="87" t="str">
        <f>HYPERLINK("http://www.youtube.com/channel/UCb79xVKqalOL8G2gYwACW_Q")</f>
        <v>http://www.youtube.com/channel/UCb79xVKqalOL8G2gYwACW_Q</v>
      </c>
      <c r="U372" s="82"/>
      <c r="V372" s="82" t="s">
        <v>2371</v>
      </c>
      <c r="W372" s="87" t="str">
        <f t="shared" si="14"/>
        <v>https://www.youtube.com/watch?v=FdMiVnA6Az0</v>
      </c>
      <c r="X372" s="82" t="s">
        <v>2384</v>
      </c>
      <c r="Y372" s="82">
        <v>0</v>
      </c>
      <c r="Z372" s="89">
        <v>45240.8375</v>
      </c>
      <c r="AA372" s="89">
        <v>45240.839108796295</v>
      </c>
      <c r="AB372" s="82"/>
      <c r="AC372" s="82"/>
      <c r="AD372" s="85" t="s">
        <v>2423</v>
      </c>
      <c r="AE372" s="84" t="str">
        <f>REPLACE(INDEX(GroupVertices[Group],MATCH("~"&amp;Edges[[#This Row],[Vertex 1]],GroupVertices[Vertex],0)),1,1,"")</f>
        <v>3</v>
      </c>
      <c r="AF372" s="84" t="str">
        <f>REPLACE(INDEX(GroupVertices[Group],MATCH("~"&amp;Edges[[#This Row],[Vertex 2]],GroupVertices[Vertex],0)),1,1,"")</f>
        <v>3</v>
      </c>
    </row>
    <row r="373" spans="1:32" ht="15">
      <c r="A373" s="66" t="s">
        <v>548</v>
      </c>
      <c r="B373" s="66" t="s">
        <v>903</v>
      </c>
      <c r="C373" s="67"/>
      <c r="D373" s="68"/>
      <c r="E373" s="69"/>
      <c r="F373" s="70"/>
      <c r="G373" s="67"/>
      <c r="H373" s="71"/>
      <c r="I373" s="72"/>
      <c r="J373" s="72"/>
      <c r="K373" s="35"/>
      <c r="L373" s="80">
        <v>373</v>
      </c>
      <c r="M373" s="80"/>
      <c r="N373" s="74"/>
      <c r="O373" s="82" t="s">
        <v>909</v>
      </c>
      <c r="P373" s="82" t="s">
        <v>197</v>
      </c>
      <c r="Q373" s="85" t="s">
        <v>1279</v>
      </c>
      <c r="R373" s="82" t="s">
        <v>548</v>
      </c>
      <c r="S373" s="82" t="s">
        <v>2014</v>
      </c>
      <c r="T373" s="87" t="str">
        <f>HYPERLINK("http://www.youtube.com/channel/UCQJuY_i5bXZ-GAVJSmIrTtg")</f>
        <v>http://www.youtube.com/channel/UCQJuY_i5bXZ-GAVJSmIrTtg</v>
      </c>
      <c r="U373" s="82"/>
      <c r="V373" s="82" t="s">
        <v>2371</v>
      </c>
      <c r="W373" s="87" t="str">
        <f t="shared" si="14"/>
        <v>https://www.youtube.com/watch?v=FdMiVnA6Az0</v>
      </c>
      <c r="X373" s="82" t="s">
        <v>2384</v>
      </c>
      <c r="Y373" s="82">
        <v>0</v>
      </c>
      <c r="Z373" s="89">
        <v>45240.84349537037</v>
      </c>
      <c r="AA373" s="89">
        <v>45240.84349537037</v>
      </c>
      <c r="AB373" s="82"/>
      <c r="AC373" s="82"/>
      <c r="AD373" s="85" t="s">
        <v>2423</v>
      </c>
      <c r="AE373" s="84" t="str">
        <f>REPLACE(INDEX(GroupVertices[Group],MATCH("~"&amp;Edges[[#This Row],[Vertex 1]],GroupVertices[Vertex],0)),1,1,"")</f>
        <v>3</v>
      </c>
      <c r="AF373" s="84" t="str">
        <f>REPLACE(INDEX(GroupVertices[Group],MATCH("~"&amp;Edges[[#This Row],[Vertex 2]],GroupVertices[Vertex],0)),1,1,"")</f>
        <v>3</v>
      </c>
    </row>
    <row r="374" spans="1:32" ht="15">
      <c r="A374" s="66" t="s">
        <v>549</v>
      </c>
      <c r="B374" s="66" t="s">
        <v>903</v>
      </c>
      <c r="C374" s="67"/>
      <c r="D374" s="68"/>
      <c r="E374" s="69"/>
      <c r="F374" s="70"/>
      <c r="G374" s="67"/>
      <c r="H374" s="71"/>
      <c r="I374" s="72"/>
      <c r="J374" s="72"/>
      <c r="K374" s="35"/>
      <c r="L374" s="80">
        <v>374</v>
      </c>
      <c r="M374" s="80"/>
      <c r="N374" s="74"/>
      <c r="O374" s="82" t="s">
        <v>909</v>
      </c>
      <c r="P374" s="82" t="s">
        <v>197</v>
      </c>
      <c r="Q374" s="85" t="s">
        <v>1280</v>
      </c>
      <c r="R374" s="82" t="s">
        <v>549</v>
      </c>
      <c r="S374" s="82" t="s">
        <v>2015</v>
      </c>
      <c r="T374" s="87" t="str">
        <f>HYPERLINK("http://www.youtube.com/channel/UCgWLT6iCpP5KbFP56bz1tnw")</f>
        <v>http://www.youtube.com/channel/UCgWLT6iCpP5KbFP56bz1tnw</v>
      </c>
      <c r="U374" s="82"/>
      <c r="V374" s="82" t="s">
        <v>2371</v>
      </c>
      <c r="W374" s="87" t="str">
        <f t="shared" si="14"/>
        <v>https://www.youtube.com/watch?v=FdMiVnA6Az0</v>
      </c>
      <c r="X374" s="82" t="s">
        <v>2384</v>
      </c>
      <c r="Y374" s="82">
        <v>1</v>
      </c>
      <c r="Z374" s="89">
        <v>45240.90944444444</v>
      </c>
      <c r="AA374" s="89">
        <v>45240.90944444444</v>
      </c>
      <c r="AB374" s="82"/>
      <c r="AC374" s="82"/>
      <c r="AD374" s="85" t="s">
        <v>2423</v>
      </c>
      <c r="AE374" s="84" t="str">
        <f>REPLACE(INDEX(GroupVertices[Group],MATCH("~"&amp;Edges[[#This Row],[Vertex 1]],GroupVertices[Vertex],0)),1,1,"")</f>
        <v>3</v>
      </c>
      <c r="AF374" s="84" t="str">
        <f>REPLACE(INDEX(GroupVertices[Group],MATCH("~"&amp;Edges[[#This Row],[Vertex 2]],GroupVertices[Vertex],0)),1,1,"")</f>
        <v>3</v>
      </c>
    </row>
    <row r="375" spans="1:32" ht="15">
      <c r="A375" s="66" t="s">
        <v>550</v>
      </c>
      <c r="B375" s="66" t="s">
        <v>903</v>
      </c>
      <c r="C375" s="67"/>
      <c r="D375" s="68"/>
      <c r="E375" s="69"/>
      <c r="F375" s="70"/>
      <c r="G375" s="67"/>
      <c r="H375" s="71"/>
      <c r="I375" s="72"/>
      <c r="J375" s="72"/>
      <c r="K375" s="35"/>
      <c r="L375" s="80">
        <v>375</v>
      </c>
      <c r="M375" s="80"/>
      <c r="N375" s="74"/>
      <c r="O375" s="82" t="s">
        <v>909</v>
      </c>
      <c r="P375" s="82" t="s">
        <v>197</v>
      </c>
      <c r="Q375" s="85" t="s">
        <v>1281</v>
      </c>
      <c r="R375" s="82" t="s">
        <v>550</v>
      </c>
      <c r="S375" s="82" t="s">
        <v>2016</v>
      </c>
      <c r="T375" s="87" t="str">
        <f>HYPERLINK("http://www.youtube.com/channel/UCbFpkAf8joKOlEBtk0Es8Cw")</f>
        <v>http://www.youtube.com/channel/UCbFpkAf8joKOlEBtk0Es8Cw</v>
      </c>
      <c r="U375" s="82"/>
      <c r="V375" s="82" t="s">
        <v>2371</v>
      </c>
      <c r="W375" s="87" t="str">
        <f t="shared" si="14"/>
        <v>https://www.youtube.com/watch?v=FdMiVnA6Az0</v>
      </c>
      <c r="X375" s="82" t="s">
        <v>2384</v>
      </c>
      <c r="Y375" s="82">
        <v>0</v>
      </c>
      <c r="Z375" s="89">
        <v>45240.91590277778</v>
      </c>
      <c r="AA375" s="89">
        <v>45240.91590277778</v>
      </c>
      <c r="AB375" s="82"/>
      <c r="AC375" s="82"/>
      <c r="AD375" s="85" t="s">
        <v>2423</v>
      </c>
      <c r="AE375" s="84" t="str">
        <f>REPLACE(INDEX(GroupVertices[Group],MATCH("~"&amp;Edges[[#This Row],[Vertex 1]],GroupVertices[Vertex],0)),1,1,"")</f>
        <v>3</v>
      </c>
      <c r="AF375" s="84" t="str">
        <f>REPLACE(INDEX(GroupVertices[Group],MATCH("~"&amp;Edges[[#This Row],[Vertex 2]],GroupVertices[Vertex],0)),1,1,"")</f>
        <v>3</v>
      </c>
    </row>
    <row r="376" spans="1:32" ht="15">
      <c r="A376" s="66" t="s">
        <v>551</v>
      </c>
      <c r="B376" s="66" t="s">
        <v>903</v>
      </c>
      <c r="C376" s="67"/>
      <c r="D376" s="68"/>
      <c r="E376" s="69"/>
      <c r="F376" s="70"/>
      <c r="G376" s="67"/>
      <c r="H376" s="71"/>
      <c r="I376" s="72"/>
      <c r="J376" s="72"/>
      <c r="K376" s="35"/>
      <c r="L376" s="80">
        <v>376</v>
      </c>
      <c r="M376" s="80"/>
      <c r="N376" s="74"/>
      <c r="O376" s="82" t="s">
        <v>909</v>
      </c>
      <c r="P376" s="82" t="s">
        <v>197</v>
      </c>
      <c r="Q376" s="85" t="s">
        <v>1282</v>
      </c>
      <c r="R376" s="82" t="s">
        <v>551</v>
      </c>
      <c r="S376" s="82" t="s">
        <v>2017</v>
      </c>
      <c r="T376" s="87" t="str">
        <f>HYPERLINK("http://www.youtube.com/channel/UC_WCJS2QvK0TKs3xPjLgUzA")</f>
        <v>http://www.youtube.com/channel/UC_WCJS2QvK0TKs3xPjLgUzA</v>
      </c>
      <c r="U376" s="82"/>
      <c r="V376" s="82" t="s">
        <v>2371</v>
      </c>
      <c r="W376" s="87" t="str">
        <f t="shared" si="14"/>
        <v>https://www.youtube.com/watch?v=FdMiVnA6Az0</v>
      </c>
      <c r="X376" s="82" t="s">
        <v>2384</v>
      </c>
      <c r="Y376" s="82">
        <v>0</v>
      </c>
      <c r="Z376" s="89">
        <v>45240.935891203706</v>
      </c>
      <c r="AA376" s="89">
        <v>45240.935891203706</v>
      </c>
      <c r="AB376" s="82"/>
      <c r="AC376" s="82"/>
      <c r="AD376" s="85" t="s">
        <v>2423</v>
      </c>
      <c r="AE376" s="84" t="str">
        <f>REPLACE(INDEX(GroupVertices[Group],MATCH("~"&amp;Edges[[#This Row],[Vertex 1]],GroupVertices[Vertex],0)),1,1,"")</f>
        <v>3</v>
      </c>
      <c r="AF376" s="84" t="str">
        <f>REPLACE(INDEX(GroupVertices[Group],MATCH("~"&amp;Edges[[#This Row],[Vertex 2]],GroupVertices[Vertex],0)),1,1,"")</f>
        <v>3</v>
      </c>
    </row>
    <row r="377" spans="1:32" ht="15">
      <c r="A377" s="66" t="s">
        <v>552</v>
      </c>
      <c r="B377" s="66" t="s">
        <v>903</v>
      </c>
      <c r="C377" s="67"/>
      <c r="D377" s="68"/>
      <c r="E377" s="69"/>
      <c r="F377" s="70"/>
      <c r="G377" s="67"/>
      <c r="H377" s="71"/>
      <c r="I377" s="72"/>
      <c r="J377" s="72"/>
      <c r="K377" s="35"/>
      <c r="L377" s="80">
        <v>377</v>
      </c>
      <c r="M377" s="80"/>
      <c r="N377" s="74"/>
      <c r="O377" s="82" t="s">
        <v>909</v>
      </c>
      <c r="P377" s="82" t="s">
        <v>197</v>
      </c>
      <c r="Q377" s="85" t="s">
        <v>1283</v>
      </c>
      <c r="R377" s="82" t="s">
        <v>552</v>
      </c>
      <c r="S377" s="82" t="s">
        <v>2018</v>
      </c>
      <c r="T377" s="87" t="str">
        <f>HYPERLINK("http://www.youtube.com/channel/UCVmBczisbmnAdXymnmffmnQ")</f>
        <v>http://www.youtube.com/channel/UCVmBczisbmnAdXymnmffmnQ</v>
      </c>
      <c r="U377" s="82"/>
      <c r="V377" s="82" t="s">
        <v>2371</v>
      </c>
      <c r="W377" s="87" t="str">
        <f t="shared" si="14"/>
        <v>https://www.youtube.com/watch?v=FdMiVnA6Az0</v>
      </c>
      <c r="X377" s="82" t="s">
        <v>2384</v>
      </c>
      <c r="Y377" s="82">
        <v>0</v>
      </c>
      <c r="Z377" s="89">
        <v>45240.99491898148</v>
      </c>
      <c r="AA377" s="89">
        <v>45240.99491898148</v>
      </c>
      <c r="AB377" s="82"/>
      <c r="AC377" s="82"/>
      <c r="AD377" s="85" t="s">
        <v>2423</v>
      </c>
      <c r="AE377" s="84" t="str">
        <f>REPLACE(INDEX(GroupVertices[Group],MATCH("~"&amp;Edges[[#This Row],[Vertex 1]],GroupVertices[Vertex],0)),1,1,"")</f>
        <v>3</v>
      </c>
      <c r="AF377" s="84" t="str">
        <f>REPLACE(INDEX(GroupVertices[Group],MATCH("~"&amp;Edges[[#This Row],[Vertex 2]],GroupVertices[Vertex],0)),1,1,"")</f>
        <v>3</v>
      </c>
    </row>
    <row r="378" spans="1:32" ht="15">
      <c r="A378" s="66" t="s">
        <v>553</v>
      </c>
      <c r="B378" s="66" t="s">
        <v>903</v>
      </c>
      <c r="C378" s="67"/>
      <c r="D378" s="68"/>
      <c r="E378" s="69"/>
      <c r="F378" s="70"/>
      <c r="G378" s="67"/>
      <c r="H378" s="71"/>
      <c r="I378" s="72"/>
      <c r="J378" s="72"/>
      <c r="K378" s="35"/>
      <c r="L378" s="80">
        <v>378</v>
      </c>
      <c r="M378" s="80"/>
      <c r="N378" s="74"/>
      <c r="O378" s="82" t="s">
        <v>909</v>
      </c>
      <c r="P378" s="82" t="s">
        <v>197</v>
      </c>
      <c r="Q378" s="85" t="s">
        <v>1284</v>
      </c>
      <c r="R378" s="82" t="s">
        <v>553</v>
      </c>
      <c r="S378" s="82" t="s">
        <v>2019</v>
      </c>
      <c r="T378" s="87" t="str">
        <f>HYPERLINK("http://www.youtube.com/channel/UCh8B1Ja_QHy_NuSHEwh-_jg")</f>
        <v>http://www.youtube.com/channel/UCh8B1Ja_QHy_NuSHEwh-_jg</v>
      </c>
      <c r="U378" s="82"/>
      <c r="V378" s="82" t="s">
        <v>2371</v>
      </c>
      <c r="W378" s="87" t="str">
        <f t="shared" si="14"/>
        <v>https://www.youtube.com/watch?v=FdMiVnA6Az0</v>
      </c>
      <c r="X378" s="82" t="s">
        <v>2384</v>
      </c>
      <c r="Y378" s="82">
        <v>0</v>
      </c>
      <c r="Z378" s="89">
        <v>45241.030636574076</v>
      </c>
      <c r="AA378" s="89">
        <v>45241.030636574076</v>
      </c>
      <c r="AB378" s="82"/>
      <c r="AC378" s="82"/>
      <c r="AD378" s="85" t="s">
        <v>2423</v>
      </c>
      <c r="AE378" s="84" t="str">
        <f>REPLACE(INDEX(GroupVertices[Group],MATCH("~"&amp;Edges[[#This Row],[Vertex 1]],GroupVertices[Vertex],0)),1,1,"")</f>
        <v>3</v>
      </c>
      <c r="AF378" s="84" t="str">
        <f>REPLACE(INDEX(GroupVertices[Group],MATCH("~"&amp;Edges[[#This Row],[Vertex 2]],GroupVertices[Vertex],0)),1,1,"")</f>
        <v>3</v>
      </c>
    </row>
    <row r="379" spans="1:32" ht="15">
      <c r="A379" s="66" t="s">
        <v>554</v>
      </c>
      <c r="B379" s="66" t="s">
        <v>903</v>
      </c>
      <c r="C379" s="67"/>
      <c r="D379" s="68"/>
      <c r="E379" s="69"/>
      <c r="F379" s="70"/>
      <c r="G379" s="67"/>
      <c r="H379" s="71"/>
      <c r="I379" s="72"/>
      <c r="J379" s="72"/>
      <c r="K379" s="35"/>
      <c r="L379" s="80">
        <v>379</v>
      </c>
      <c r="M379" s="80"/>
      <c r="N379" s="74"/>
      <c r="O379" s="82" t="s">
        <v>909</v>
      </c>
      <c r="P379" s="82" t="s">
        <v>197</v>
      </c>
      <c r="Q379" s="85" t="s">
        <v>1285</v>
      </c>
      <c r="R379" s="82" t="s">
        <v>554</v>
      </c>
      <c r="S379" s="82" t="s">
        <v>2020</v>
      </c>
      <c r="T379" s="87" t="str">
        <f>HYPERLINK("http://www.youtube.com/channel/UCxe1DIONDme-Ftjz_meLQlg")</f>
        <v>http://www.youtube.com/channel/UCxe1DIONDme-Ftjz_meLQlg</v>
      </c>
      <c r="U379" s="82"/>
      <c r="V379" s="82" t="s">
        <v>2371</v>
      </c>
      <c r="W379" s="87" t="str">
        <f t="shared" si="14"/>
        <v>https://www.youtube.com/watch?v=FdMiVnA6Az0</v>
      </c>
      <c r="X379" s="82" t="s">
        <v>2384</v>
      </c>
      <c r="Y379" s="82">
        <v>0</v>
      </c>
      <c r="Z379" s="89">
        <v>45241.0568287037</v>
      </c>
      <c r="AA379" s="89">
        <v>45241.0568287037</v>
      </c>
      <c r="AB379" s="82"/>
      <c r="AC379" s="82"/>
      <c r="AD379" s="85" t="s">
        <v>2423</v>
      </c>
      <c r="AE379" s="84" t="str">
        <f>REPLACE(INDEX(GroupVertices[Group],MATCH("~"&amp;Edges[[#This Row],[Vertex 1]],GroupVertices[Vertex],0)),1,1,"")</f>
        <v>3</v>
      </c>
      <c r="AF379" s="84" t="str">
        <f>REPLACE(INDEX(GroupVertices[Group],MATCH("~"&amp;Edges[[#This Row],[Vertex 2]],GroupVertices[Vertex],0)),1,1,"")</f>
        <v>3</v>
      </c>
    </row>
    <row r="380" spans="1:32" ht="15">
      <c r="A380" s="66" t="s">
        <v>555</v>
      </c>
      <c r="B380" s="66" t="s">
        <v>903</v>
      </c>
      <c r="C380" s="67"/>
      <c r="D380" s="68"/>
      <c r="E380" s="69"/>
      <c r="F380" s="70"/>
      <c r="G380" s="67"/>
      <c r="H380" s="71"/>
      <c r="I380" s="72"/>
      <c r="J380" s="72"/>
      <c r="K380" s="35"/>
      <c r="L380" s="80">
        <v>380</v>
      </c>
      <c r="M380" s="80"/>
      <c r="N380" s="74"/>
      <c r="O380" s="82" t="s">
        <v>909</v>
      </c>
      <c r="P380" s="82" t="s">
        <v>197</v>
      </c>
      <c r="Q380" s="85" t="s">
        <v>1286</v>
      </c>
      <c r="R380" s="82" t="s">
        <v>555</v>
      </c>
      <c r="S380" s="82" t="s">
        <v>2021</v>
      </c>
      <c r="T380" s="87" t="str">
        <f>HYPERLINK("http://www.youtube.com/channel/UC49OUIqc1iHsazIwOllyHqA")</f>
        <v>http://www.youtube.com/channel/UC49OUIqc1iHsazIwOllyHqA</v>
      </c>
      <c r="U380" s="82"/>
      <c r="V380" s="82" t="s">
        <v>2371</v>
      </c>
      <c r="W380" s="87" t="str">
        <f t="shared" si="14"/>
        <v>https://www.youtube.com/watch?v=FdMiVnA6Az0</v>
      </c>
      <c r="X380" s="82" t="s">
        <v>2384</v>
      </c>
      <c r="Y380" s="82">
        <v>0</v>
      </c>
      <c r="Z380" s="89">
        <v>45241.255162037036</v>
      </c>
      <c r="AA380" s="89">
        <v>45241.2690162037</v>
      </c>
      <c r="AB380" s="82"/>
      <c r="AC380" s="82"/>
      <c r="AD380" s="85" t="s">
        <v>2423</v>
      </c>
      <c r="AE380" s="84" t="str">
        <f>REPLACE(INDEX(GroupVertices[Group],MATCH("~"&amp;Edges[[#This Row],[Vertex 1]],GroupVertices[Vertex],0)),1,1,"")</f>
        <v>3</v>
      </c>
      <c r="AF380" s="84" t="str">
        <f>REPLACE(INDEX(GroupVertices[Group],MATCH("~"&amp;Edges[[#This Row],[Vertex 2]],GroupVertices[Vertex],0)),1,1,"")</f>
        <v>3</v>
      </c>
    </row>
    <row r="381" spans="1:32" ht="15">
      <c r="A381" s="66" t="s">
        <v>555</v>
      </c>
      <c r="B381" s="66" t="s">
        <v>903</v>
      </c>
      <c r="C381" s="67"/>
      <c r="D381" s="68"/>
      <c r="E381" s="69"/>
      <c r="F381" s="70"/>
      <c r="G381" s="67"/>
      <c r="H381" s="71"/>
      <c r="I381" s="72"/>
      <c r="J381" s="72"/>
      <c r="K381" s="35"/>
      <c r="L381" s="80">
        <v>381</v>
      </c>
      <c r="M381" s="80"/>
      <c r="N381" s="74"/>
      <c r="O381" s="82" t="s">
        <v>909</v>
      </c>
      <c r="P381" s="82" t="s">
        <v>197</v>
      </c>
      <c r="Q381" s="85" t="s">
        <v>1287</v>
      </c>
      <c r="R381" s="82" t="s">
        <v>555</v>
      </c>
      <c r="S381" s="82" t="s">
        <v>2021</v>
      </c>
      <c r="T381" s="87" t="str">
        <f>HYPERLINK("http://www.youtube.com/channel/UC49OUIqc1iHsazIwOllyHqA")</f>
        <v>http://www.youtube.com/channel/UC49OUIqc1iHsazIwOllyHqA</v>
      </c>
      <c r="U381" s="82"/>
      <c r="V381" s="82" t="s">
        <v>2371</v>
      </c>
      <c r="W381" s="87" t="str">
        <f t="shared" si="14"/>
        <v>https://www.youtube.com/watch?v=FdMiVnA6Az0</v>
      </c>
      <c r="X381" s="82" t="s">
        <v>2384</v>
      </c>
      <c r="Y381" s="82">
        <v>0</v>
      </c>
      <c r="Z381" s="89">
        <v>45241.26863425926</v>
      </c>
      <c r="AA381" s="89">
        <v>45241.26863425926</v>
      </c>
      <c r="AB381" s="82"/>
      <c r="AC381" s="82"/>
      <c r="AD381" s="85" t="s">
        <v>2423</v>
      </c>
      <c r="AE381" s="84" t="str">
        <f>REPLACE(INDEX(GroupVertices[Group],MATCH("~"&amp;Edges[[#This Row],[Vertex 1]],GroupVertices[Vertex],0)),1,1,"")</f>
        <v>3</v>
      </c>
      <c r="AF381" s="84" t="str">
        <f>REPLACE(INDEX(GroupVertices[Group],MATCH("~"&amp;Edges[[#This Row],[Vertex 2]],GroupVertices[Vertex],0)),1,1,"")</f>
        <v>3</v>
      </c>
    </row>
    <row r="382" spans="1:32" ht="15">
      <c r="A382" s="66" t="s">
        <v>556</v>
      </c>
      <c r="B382" s="66" t="s">
        <v>903</v>
      </c>
      <c r="C382" s="67"/>
      <c r="D382" s="68"/>
      <c r="E382" s="69"/>
      <c r="F382" s="70"/>
      <c r="G382" s="67"/>
      <c r="H382" s="71"/>
      <c r="I382" s="72"/>
      <c r="J382" s="72"/>
      <c r="K382" s="35"/>
      <c r="L382" s="80">
        <v>382</v>
      </c>
      <c r="M382" s="80"/>
      <c r="N382" s="74"/>
      <c r="O382" s="82" t="s">
        <v>909</v>
      </c>
      <c r="P382" s="82" t="s">
        <v>197</v>
      </c>
      <c r="Q382" s="85" t="s">
        <v>1288</v>
      </c>
      <c r="R382" s="82" t="s">
        <v>556</v>
      </c>
      <c r="S382" s="82" t="s">
        <v>2022</v>
      </c>
      <c r="T382" s="87" t="str">
        <f>HYPERLINK("http://www.youtube.com/channel/UCR4GxyDBV43ZwpcLgIZm_mQ")</f>
        <v>http://www.youtube.com/channel/UCR4GxyDBV43ZwpcLgIZm_mQ</v>
      </c>
      <c r="U382" s="82"/>
      <c r="V382" s="82" t="s">
        <v>2371</v>
      </c>
      <c r="W382" s="87" t="str">
        <f t="shared" si="14"/>
        <v>https://www.youtube.com/watch?v=FdMiVnA6Az0</v>
      </c>
      <c r="X382" s="82" t="s">
        <v>2384</v>
      </c>
      <c r="Y382" s="82">
        <v>0</v>
      </c>
      <c r="Z382" s="89">
        <v>45241.29844907407</v>
      </c>
      <c r="AA382" s="89">
        <v>45241.29844907407</v>
      </c>
      <c r="AB382" s="82"/>
      <c r="AC382" s="82"/>
      <c r="AD382" s="85" t="s">
        <v>2423</v>
      </c>
      <c r="AE382" s="84" t="str">
        <f>REPLACE(INDEX(GroupVertices[Group],MATCH("~"&amp;Edges[[#This Row],[Vertex 1]],GroupVertices[Vertex],0)),1,1,"")</f>
        <v>3</v>
      </c>
      <c r="AF382" s="84" t="str">
        <f>REPLACE(INDEX(GroupVertices[Group],MATCH("~"&amp;Edges[[#This Row],[Vertex 2]],GroupVertices[Vertex],0)),1,1,"")</f>
        <v>3</v>
      </c>
    </row>
    <row r="383" spans="1:32" ht="15">
      <c r="A383" s="66" t="s">
        <v>557</v>
      </c>
      <c r="B383" s="66" t="s">
        <v>903</v>
      </c>
      <c r="C383" s="67"/>
      <c r="D383" s="68"/>
      <c r="E383" s="69"/>
      <c r="F383" s="70"/>
      <c r="G383" s="67"/>
      <c r="H383" s="71"/>
      <c r="I383" s="72"/>
      <c r="J383" s="72"/>
      <c r="K383" s="35"/>
      <c r="L383" s="80">
        <v>383</v>
      </c>
      <c r="M383" s="80"/>
      <c r="N383" s="74"/>
      <c r="O383" s="82" t="s">
        <v>909</v>
      </c>
      <c r="P383" s="82" t="s">
        <v>197</v>
      </c>
      <c r="Q383" s="85" t="s">
        <v>1289</v>
      </c>
      <c r="R383" s="82" t="s">
        <v>557</v>
      </c>
      <c r="S383" s="82" t="s">
        <v>2023</v>
      </c>
      <c r="T383" s="87" t="str">
        <f>HYPERLINK("http://www.youtube.com/channel/UC05LCWvw5lPuonrh2TJmE8w")</f>
        <v>http://www.youtube.com/channel/UC05LCWvw5lPuonrh2TJmE8w</v>
      </c>
      <c r="U383" s="82"/>
      <c r="V383" s="82" t="s">
        <v>2371</v>
      </c>
      <c r="W383" s="87" t="str">
        <f t="shared" si="14"/>
        <v>https://www.youtube.com/watch?v=FdMiVnA6Az0</v>
      </c>
      <c r="X383" s="82" t="s">
        <v>2384</v>
      </c>
      <c r="Y383" s="82">
        <v>0</v>
      </c>
      <c r="Z383" s="89">
        <v>45241.336168981485</v>
      </c>
      <c r="AA383" s="89">
        <v>45241.336168981485</v>
      </c>
      <c r="AB383" s="82"/>
      <c r="AC383" s="82"/>
      <c r="AD383" s="85" t="s">
        <v>2423</v>
      </c>
      <c r="AE383" s="84" t="str">
        <f>REPLACE(INDEX(GroupVertices[Group],MATCH("~"&amp;Edges[[#This Row],[Vertex 1]],GroupVertices[Vertex],0)),1,1,"")</f>
        <v>3</v>
      </c>
      <c r="AF383" s="84" t="str">
        <f>REPLACE(INDEX(GroupVertices[Group],MATCH("~"&amp;Edges[[#This Row],[Vertex 2]],GroupVertices[Vertex],0)),1,1,"")</f>
        <v>3</v>
      </c>
    </row>
    <row r="384" spans="1:32" ht="15">
      <c r="A384" s="66" t="s">
        <v>558</v>
      </c>
      <c r="B384" s="66" t="s">
        <v>903</v>
      </c>
      <c r="C384" s="67"/>
      <c r="D384" s="68"/>
      <c r="E384" s="69"/>
      <c r="F384" s="70"/>
      <c r="G384" s="67"/>
      <c r="H384" s="71"/>
      <c r="I384" s="72"/>
      <c r="J384" s="72"/>
      <c r="K384" s="35"/>
      <c r="L384" s="80">
        <v>384</v>
      </c>
      <c r="M384" s="80"/>
      <c r="N384" s="74"/>
      <c r="O384" s="82" t="s">
        <v>909</v>
      </c>
      <c r="P384" s="82" t="s">
        <v>197</v>
      </c>
      <c r="Q384" s="85" t="s">
        <v>1290</v>
      </c>
      <c r="R384" s="82" t="s">
        <v>558</v>
      </c>
      <c r="S384" s="82" t="s">
        <v>2024</v>
      </c>
      <c r="T384" s="87" t="str">
        <f>HYPERLINK("http://www.youtube.com/channel/UCAlmn1BN7ifoHzUgvU_afmA")</f>
        <v>http://www.youtube.com/channel/UCAlmn1BN7ifoHzUgvU_afmA</v>
      </c>
      <c r="U384" s="82"/>
      <c r="V384" s="82" t="s">
        <v>2371</v>
      </c>
      <c r="W384" s="87" t="str">
        <f t="shared" si="14"/>
        <v>https://www.youtube.com/watch?v=FdMiVnA6Az0</v>
      </c>
      <c r="X384" s="82" t="s">
        <v>2384</v>
      </c>
      <c r="Y384" s="82">
        <v>1</v>
      </c>
      <c r="Z384" s="89">
        <v>45241.47363425926</v>
      </c>
      <c r="AA384" s="89">
        <v>45241.48167824074</v>
      </c>
      <c r="AB384" s="82"/>
      <c r="AC384" s="82"/>
      <c r="AD384" s="85" t="s">
        <v>2423</v>
      </c>
      <c r="AE384" s="84" t="str">
        <f>REPLACE(INDEX(GroupVertices[Group],MATCH("~"&amp;Edges[[#This Row],[Vertex 1]],GroupVertices[Vertex],0)),1,1,"")</f>
        <v>3</v>
      </c>
      <c r="AF384" s="84" t="str">
        <f>REPLACE(INDEX(GroupVertices[Group],MATCH("~"&amp;Edges[[#This Row],[Vertex 2]],GroupVertices[Vertex],0)),1,1,"")</f>
        <v>3</v>
      </c>
    </row>
    <row r="385" spans="1:32" ht="15">
      <c r="A385" s="66" t="s">
        <v>559</v>
      </c>
      <c r="B385" s="66" t="s">
        <v>899</v>
      </c>
      <c r="C385" s="67"/>
      <c r="D385" s="68"/>
      <c r="E385" s="69"/>
      <c r="F385" s="70"/>
      <c r="G385" s="67"/>
      <c r="H385" s="71"/>
      <c r="I385" s="72"/>
      <c r="J385" s="72"/>
      <c r="K385" s="35"/>
      <c r="L385" s="80">
        <v>385</v>
      </c>
      <c r="M385" s="80"/>
      <c r="N385" s="74"/>
      <c r="O385" s="82" t="s">
        <v>909</v>
      </c>
      <c r="P385" s="82" t="s">
        <v>197</v>
      </c>
      <c r="Q385" s="85" t="s">
        <v>1291</v>
      </c>
      <c r="R385" s="82" t="s">
        <v>559</v>
      </c>
      <c r="S385" s="82" t="s">
        <v>2025</v>
      </c>
      <c r="T385" s="87" t="str">
        <f>HYPERLINK("http://www.youtube.com/channel/UCBdOLQYVHPtOcl3q2th7fhA")</f>
        <v>http://www.youtube.com/channel/UCBdOLQYVHPtOcl3q2th7fhA</v>
      </c>
      <c r="U385" s="82"/>
      <c r="V385" s="82" t="s">
        <v>2366</v>
      </c>
      <c r="W385" s="87" t="str">
        <f>HYPERLINK("https://www.youtube.com/watch?v=sgOEGKDVvsg")</f>
        <v>https://www.youtube.com/watch?v=sgOEGKDVvsg</v>
      </c>
      <c r="X385" s="82" t="s">
        <v>2384</v>
      </c>
      <c r="Y385" s="82">
        <v>0</v>
      </c>
      <c r="Z385" s="89">
        <v>45277.731041666666</v>
      </c>
      <c r="AA385" s="89">
        <v>45277.731041666666</v>
      </c>
      <c r="AB385" s="82"/>
      <c r="AC385" s="82"/>
      <c r="AD385" s="85" t="s">
        <v>2423</v>
      </c>
      <c r="AE385" s="84" t="str">
        <f>REPLACE(INDEX(GroupVertices[Group],MATCH("~"&amp;Edges[[#This Row],[Vertex 1]],GroupVertices[Vertex],0)),1,1,"")</f>
        <v>7</v>
      </c>
      <c r="AF385" s="84" t="str">
        <f>REPLACE(INDEX(GroupVertices[Group],MATCH("~"&amp;Edges[[#This Row],[Vertex 2]],GroupVertices[Vertex],0)),1,1,"")</f>
        <v>7</v>
      </c>
    </row>
    <row r="386" spans="1:32" ht="15">
      <c r="A386" s="66" t="s">
        <v>559</v>
      </c>
      <c r="B386" s="66" t="s">
        <v>903</v>
      </c>
      <c r="C386" s="67"/>
      <c r="D386" s="68"/>
      <c r="E386" s="69"/>
      <c r="F386" s="70"/>
      <c r="G386" s="67"/>
      <c r="H386" s="71"/>
      <c r="I386" s="72"/>
      <c r="J386" s="72"/>
      <c r="K386" s="35"/>
      <c r="L386" s="80">
        <v>386</v>
      </c>
      <c r="M386" s="80"/>
      <c r="N386" s="74"/>
      <c r="O386" s="82" t="s">
        <v>909</v>
      </c>
      <c r="P386" s="82" t="s">
        <v>197</v>
      </c>
      <c r="Q386" s="85" t="s">
        <v>1292</v>
      </c>
      <c r="R386" s="82" t="s">
        <v>559</v>
      </c>
      <c r="S386" s="82" t="s">
        <v>2025</v>
      </c>
      <c r="T386" s="87" t="str">
        <f>HYPERLINK("http://www.youtube.com/channel/UCBdOLQYVHPtOcl3q2th7fhA")</f>
        <v>http://www.youtube.com/channel/UCBdOLQYVHPtOcl3q2th7fhA</v>
      </c>
      <c r="U386" s="82"/>
      <c r="V386" s="82" t="s">
        <v>2371</v>
      </c>
      <c r="W386" s="87" t="str">
        <f aca="true" t="shared" si="15" ref="W386:W417">HYPERLINK("https://www.youtube.com/watch?v=FdMiVnA6Az0")</f>
        <v>https://www.youtube.com/watch?v=FdMiVnA6Az0</v>
      </c>
      <c r="X386" s="82" t="s">
        <v>2384</v>
      </c>
      <c r="Y386" s="82">
        <v>0</v>
      </c>
      <c r="Z386" s="89">
        <v>45241.83460648148</v>
      </c>
      <c r="AA386" s="89">
        <v>45241.83460648148</v>
      </c>
      <c r="AB386" s="82" t="s">
        <v>2402</v>
      </c>
      <c r="AC386" s="82" t="s">
        <v>2417</v>
      </c>
      <c r="AD386" s="85" t="s">
        <v>2423</v>
      </c>
      <c r="AE386" s="84" t="str">
        <f>REPLACE(INDEX(GroupVertices[Group],MATCH("~"&amp;Edges[[#This Row],[Vertex 1]],GroupVertices[Vertex],0)),1,1,"")</f>
        <v>7</v>
      </c>
      <c r="AF386" s="84" t="str">
        <f>REPLACE(INDEX(GroupVertices[Group],MATCH("~"&amp;Edges[[#This Row],[Vertex 2]],GroupVertices[Vertex],0)),1,1,"")</f>
        <v>3</v>
      </c>
    </row>
    <row r="387" spans="1:32" ht="15">
      <c r="A387" s="66" t="s">
        <v>560</v>
      </c>
      <c r="B387" s="66" t="s">
        <v>903</v>
      </c>
      <c r="C387" s="67"/>
      <c r="D387" s="68"/>
      <c r="E387" s="69"/>
      <c r="F387" s="70"/>
      <c r="G387" s="67"/>
      <c r="H387" s="71"/>
      <c r="I387" s="72"/>
      <c r="J387" s="72"/>
      <c r="K387" s="35"/>
      <c r="L387" s="80">
        <v>387</v>
      </c>
      <c r="M387" s="80"/>
      <c r="N387" s="74"/>
      <c r="O387" s="82" t="s">
        <v>909</v>
      </c>
      <c r="P387" s="82" t="s">
        <v>197</v>
      </c>
      <c r="Q387" s="85" t="s">
        <v>1293</v>
      </c>
      <c r="R387" s="82" t="s">
        <v>560</v>
      </c>
      <c r="S387" s="82" t="s">
        <v>2026</v>
      </c>
      <c r="T387" s="87" t="str">
        <f>HYPERLINK("http://www.youtube.com/channel/UCQ4_VbvO_pK1jif12MouYDw")</f>
        <v>http://www.youtube.com/channel/UCQ4_VbvO_pK1jif12MouYDw</v>
      </c>
      <c r="U387" s="82"/>
      <c r="V387" s="82" t="s">
        <v>2371</v>
      </c>
      <c r="W387" s="87" t="str">
        <f t="shared" si="15"/>
        <v>https://www.youtube.com/watch?v=FdMiVnA6Az0</v>
      </c>
      <c r="X387" s="82" t="s">
        <v>2384</v>
      </c>
      <c r="Y387" s="82">
        <v>0</v>
      </c>
      <c r="Z387" s="89">
        <v>45241.929236111115</v>
      </c>
      <c r="AA387" s="89">
        <v>45241.929236111115</v>
      </c>
      <c r="AB387" s="82"/>
      <c r="AC387" s="82"/>
      <c r="AD387" s="85" t="s">
        <v>2423</v>
      </c>
      <c r="AE387" s="84" t="str">
        <f>REPLACE(INDEX(GroupVertices[Group],MATCH("~"&amp;Edges[[#This Row],[Vertex 1]],GroupVertices[Vertex],0)),1,1,"")</f>
        <v>3</v>
      </c>
      <c r="AF387" s="84" t="str">
        <f>REPLACE(INDEX(GroupVertices[Group],MATCH("~"&amp;Edges[[#This Row],[Vertex 2]],GroupVertices[Vertex],0)),1,1,"")</f>
        <v>3</v>
      </c>
    </row>
    <row r="388" spans="1:32" ht="15">
      <c r="A388" s="66" t="s">
        <v>561</v>
      </c>
      <c r="B388" s="66" t="s">
        <v>903</v>
      </c>
      <c r="C388" s="67"/>
      <c r="D388" s="68"/>
      <c r="E388" s="69"/>
      <c r="F388" s="70"/>
      <c r="G388" s="67"/>
      <c r="H388" s="71"/>
      <c r="I388" s="72"/>
      <c r="J388" s="72"/>
      <c r="K388" s="35"/>
      <c r="L388" s="80">
        <v>388</v>
      </c>
      <c r="M388" s="80"/>
      <c r="N388" s="74"/>
      <c r="O388" s="82" t="s">
        <v>909</v>
      </c>
      <c r="P388" s="82" t="s">
        <v>197</v>
      </c>
      <c r="Q388" s="85" t="s">
        <v>1294</v>
      </c>
      <c r="R388" s="82" t="s">
        <v>561</v>
      </c>
      <c r="S388" s="82" t="s">
        <v>2027</v>
      </c>
      <c r="T388" s="87" t="str">
        <f>HYPERLINK("http://www.youtube.com/channel/UC-b1oHeHzzAe3R1_T7MDyHQ")</f>
        <v>http://www.youtube.com/channel/UC-b1oHeHzzAe3R1_T7MDyHQ</v>
      </c>
      <c r="U388" s="82"/>
      <c r="V388" s="82" t="s">
        <v>2371</v>
      </c>
      <c r="W388" s="87" t="str">
        <f t="shared" si="15"/>
        <v>https://www.youtube.com/watch?v=FdMiVnA6Az0</v>
      </c>
      <c r="X388" s="82" t="s">
        <v>2384</v>
      </c>
      <c r="Y388" s="82">
        <v>0</v>
      </c>
      <c r="Z388" s="89">
        <v>45242.65541666667</v>
      </c>
      <c r="AA388" s="89">
        <v>45242.65541666667</v>
      </c>
      <c r="AB388" s="82"/>
      <c r="AC388" s="82"/>
      <c r="AD388" s="85" t="s">
        <v>2423</v>
      </c>
      <c r="AE388" s="84" t="str">
        <f>REPLACE(INDEX(GroupVertices[Group],MATCH("~"&amp;Edges[[#This Row],[Vertex 1]],GroupVertices[Vertex],0)),1,1,"")</f>
        <v>3</v>
      </c>
      <c r="AF388" s="84" t="str">
        <f>REPLACE(INDEX(GroupVertices[Group],MATCH("~"&amp;Edges[[#This Row],[Vertex 2]],GroupVertices[Vertex],0)),1,1,"")</f>
        <v>3</v>
      </c>
    </row>
    <row r="389" spans="1:32" ht="15">
      <c r="A389" s="66" t="s">
        <v>562</v>
      </c>
      <c r="B389" s="66" t="s">
        <v>903</v>
      </c>
      <c r="C389" s="67"/>
      <c r="D389" s="68"/>
      <c r="E389" s="69"/>
      <c r="F389" s="70"/>
      <c r="G389" s="67"/>
      <c r="H389" s="71"/>
      <c r="I389" s="72"/>
      <c r="J389" s="72"/>
      <c r="K389" s="35"/>
      <c r="L389" s="80">
        <v>389</v>
      </c>
      <c r="M389" s="80"/>
      <c r="N389" s="74"/>
      <c r="O389" s="82" t="s">
        <v>909</v>
      </c>
      <c r="P389" s="82" t="s">
        <v>197</v>
      </c>
      <c r="Q389" s="85" t="s">
        <v>1295</v>
      </c>
      <c r="R389" s="82" t="s">
        <v>562</v>
      </c>
      <c r="S389" s="82" t="s">
        <v>2028</v>
      </c>
      <c r="T389" s="87" t="str">
        <f>HYPERLINK("http://www.youtube.com/channel/UCGfmkO5Dg9VC4asYfPJM4zQ")</f>
        <v>http://www.youtube.com/channel/UCGfmkO5Dg9VC4asYfPJM4zQ</v>
      </c>
      <c r="U389" s="82"/>
      <c r="V389" s="82" t="s">
        <v>2371</v>
      </c>
      <c r="W389" s="87" t="str">
        <f t="shared" si="15"/>
        <v>https://www.youtube.com/watch?v=FdMiVnA6Az0</v>
      </c>
      <c r="X389" s="82" t="s">
        <v>2384</v>
      </c>
      <c r="Y389" s="82">
        <v>0</v>
      </c>
      <c r="Z389" s="89">
        <v>45242.75040509259</v>
      </c>
      <c r="AA389" s="89">
        <v>45242.75040509259</v>
      </c>
      <c r="AB389" s="82"/>
      <c r="AC389" s="82"/>
      <c r="AD389" s="85" t="s">
        <v>2423</v>
      </c>
      <c r="AE389" s="84" t="str">
        <f>REPLACE(INDEX(GroupVertices[Group],MATCH("~"&amp;Edges[[#This Row],[Vertex 1]],GroupVertices[Vertex],0)),1,1,"")</f>
        <v>3</v>
      </c>
      <c r="AF389" s="84" t="str">
        <f>REPLACE(INDEX(GroupVertices[Group],MATCH("~"&amp;Edges[[#This Row],[Vertex 2]],GroupVertices[Vertex],0)),1,1,"")</f>
        <v>3</v>
      </c>
    </row>
    <row r="390" spans="1:32" ht="15">
      <c r="A390" s="66" t="s">
        <v>563</v>
      </c>
      <c r="B390" s="66" t="s">
        <v>903</v>
      </c>
      <c r="C390" s="67"/>
      <c r="D390" s="68"/>
      <c r="E390" s="69"/>
      <c r="F390" s="70"/>
      <c r="G390" s="67"/>
      <c r="H390" s="71"/>
      <c r="I390" s="72"/>
      <c r="J390" s="72"/>
      <c r="K390" s="35"/>
      <c r="L390" s="80">
        <v>390</v>
      </c>
      <c r="M390" s="80"/>
      <c r="N390" s="74"/>
      <c r="O390" s="82" t="s">
        <v>909</v>
      </c>
      <c r="P390" s="82" t="s">
        <v>197</v>
      </c>
      <c r="Q390" s="85" t="s">
        <v>1296</v>
      </c>
      <c r="R390" s="82" t="s">
        <v>563</v>
      </c>
      <c r="S390" s="82" t="s">
        <v>2029</v>
      </c>
      <c r="T390" s="87" t="str">
        <f>HYPERLINK("http://www.youtube.com/channel/UCHALEe-ya_xIGuUpBWQ_UsQ")</f>
        <v>http://www.youtube.com/channel/UCHALEe-ya_xIGuUpBWQ_UsQ</v>
      </c>
      <c r="U390" s="82"/>
      <c r="V390" s="82" t="s">
        <v>2371</v>
      </c>
      <c r="W390" s="87" t="str">
        <f t="shared" si="15"/>
        <v>https://www.youtube.com/watch?v=FdMiVnA6Az0</v>
      </c>
      <c r="X390" s="82" t="s">
        <v>2384</v>
      </c>
      <c r="Y390" s="82">
        <v>0</v>
      </c>
      <c r="Z390" s="89">
        <v>45242.999247685184</v>
      </c>
      <c r="AA390" s="89">
        <v>45242.999247685184</v>
      </c>
      <c r="AB390" s="82"/>
      <c r="AC390" s="82"/>
      <c r="AD390" s="85" t="s">
        <v>2423</v>
      </c>
      <c r="AE390" s="84" t="str">
        <f>REPLACE(INDEX(GroupVertices[Group],MATCH("~"&amp;Edges[[#This Row],[Vertex 1]],GroupVertices[Vertex],0)),1,1,"")</f>
        <v>3</v>
      </c>
      <c r="AF390" s="84" t="str">
        <f>REPLACE(INDEX(GroupVertices[Group],MATCH("~"&amp;Edges[[#This Row],[Vertex 2]],GroupVertices[Vertex],0)),1,1,"")</f>
        <v>3</v>
      </c>
    </row>
    <row r="391" spans="1:32" ht="15">
      <c r="A391" s="66" t="s">
        <v>564</v>
      </c>
      <c r="B391" s="66" t="s">
        <v>903</v>
      </c>
      <c r="C391" s="67"/>
      <c r="D391" s="68"/>
      <c r="E391" s="69"/>
      <c r="F391" s="70"/>
      <c r="G391" s="67"/>
      <c r="H391" s="71"/>
      <c r="I391" s="72"/>
      <c r="J391" s="72"/>
      <c r="K391" s="35"/>
      <c r="L391" s="80">
        <v>391</v>
      </c>
      <c r="M391" s="80"/>
      <c r="N391" s="74"/>
      <c r="O391" s="82" t="s">
        <v>909</v>
      </c>
      <c r="P391" s="82" t="s">
        <v>197</v>
      </c>
      <c r="Q391" s="85" t="s">
        <v>1297</v>
      </c>
      <c r="R391" s="82" t="s">
        <v>564</v>
      </c>
      <c r="S391" s="82" t="s">
        <v>2030</v>
      </c>
      <c r="T391" s="87" t="str">
        <f>HYPERLINK("http://www.youtube.com/channel/UCqz6R-AeBNCglAXuco6PQQw")</f>
        <v>http://www.youtube.com/channel/UCqz6R-AeBNCglAXuco6PQQw</v>
      </c>
      <c r="U391" s="82"/>
      <c r="V391" s="82" t="s">
        <v>2371</v>
      </c>
      <c r="W391" s="87" t="str">
        <f t="shared" si="15"/>
        <v>https://www.youtube.com/watch?v=FdMiVnA6Az0</v>
      </c>
      <c r="X391" s="82" t="s">
        <v>2384</v>
      </c>
      <c r="Y391" s="82">
        <v>0</v>
      </c>
      <c r="Z391" s="89">
        <v>45243.11356481481</v>
      </c>
      <c r="AA391" s="89">
        <v>45243.11356481481</v>
      </c>
      <c r="AB391" s="82"/>
      <c r="AC391" s="82"/>
      <c r="AD391" s="85" t="s">
        <v>2423</v>
      </c>
      <c r="AE391" s="84" t="str">
        <f>REPLACE(INDEX(GroupVertices[Group],MATCH("~"&amp;Edges[[#This Row],[Vertex 1]],GroupVertices[Vertex],0)),1,1,"")</f>
        <v>3</v>
      </c>
      <c r="AF391" s="84" t="str">
        <f>REPLACE(INDEX(GroupVertices[Group],MATCH("~"&amp;Edges[[#This Row],[Vertex 2]],GroupVertices[Vertex],0)),1,1,"")</f>
        <v>3</v>
      </c>
    </row>
    <row r="392" spans="1:32" ht="15">
      <c r="A392" s="66" t="s">
        <v>565</v>
      </c>
      <c r="B392" s="66" t="s">
        <v>903</v>
      </c>
      <c r="C392" s="67"/>
      <c r="D392" s="68"/>
      <c r="E392" s="69"/>
      <c r="F392" s="70"/>
      <c r="G392" s="67"/>
      <c r="H392" s="71"/>
      <c r="I392" s="72"/>
      <c r="J392" s="72"/>
      <c r="K392" s="35"/>
      <c r="L392" s="80">
        <v>392</v>
      </c>
      <c r="M392" s="80"/>
      <c r="N392" s="74"/>
      <c r="O392" s="82" t="s">
        <v>909</v>
      </c>
      <c r="P392" s="82" t="s">
        <v>197</v>
      </c>
      <c r="Q392" s="85" t="s">
        <v>1298</v>
      </c>
      <c r="R392" s="82" t="s">
        <v>565</v>
      </c>
      <c r="S392" s="82" t="s">
        <v>2031</v>
      </c>
      <c r="T392" s="87" t="str">
        <f>HYPERLINK("http://www.youtube.com/channel/UCkHqCBJzKGKmZ9ELeLMw-QA")</f>
        <v>http://www.youtube.com/channel/UCkHqCBJzKGKmZ9ELeLMw-QA</v>
      </c>
      <c r="U392" s="82"/>
      <c r="V392" s="82" t="s">
        <v>2371</v>
      </c>
      <c r="W392" s="87" t="str">
        <f t="shared" si="15"/>
        <v>https://www.youtube.com/watch?v=FdMiVnA6Az0</v>
      </c>
      <c r="X392" s="82" t="s">
        <v>2384</v>
      </c>
      <c r="Y392" s="82">
        <v>0</v>
      </c>
      <c r="Z392" s="89">
        <v>45243.13898148148</v>
      </c>
      <c r="AA392" s="89">
        <v>45243.13898148148</v>
      </c>
      <c r="AB392" s="82"/>
      <c r="AC392" s="82"/>
      <c r="AD392" s="85" t="s">
        <v>2423</v>
      </c>
      <c r="AE392" s="84" t="str">
        <f>REPLACE(INDEX(GroupVertices[Group],MATCH("~"&amp;Edges[[#This Row],[Vertex 1]],GroupVertices[Vertex],0)),1,1,"")</f>
        <v>3</v>
      </c>
      <c r="AF392" s="84" t="str">
        <f>REPLACE(INDEX(GroupVertices[Group],MATCH("~"&amp;Edges[[#This Row],[Vertex 2]],GroupVertices[Vertex],0)),1,1,"")</f>
        <v>3</v>
      </c>
    </row>
    <row r="393" spans="1:32" ht="15">
      <c r="A393" s="66" t="s">
        <v>566</v>
      </c>
      <c r="B393" s="66" t="s">
        <v>903</v>
      </c>
      <c r="C393" s="67"/>
      <c r="D393" s="68"/>
      <c r="E393" s="69"/>
      <c r="F393" s="70"/>
      <c r="G393" s="67"/>
      <c r="H393" s="71"/>
      <c r="I393" s="72"/>
      <c r="J393" s="72"/>
      <c r="K393" s="35"/>
      <c r="L393" s="80">
        <v>393</v>
      </c>
      <c r="M393" s="80"/>
      <c r="N393" s="74"/>
      <c r="O393" s="82" t="s">
        <v>909</v>
      </c>
      <c r="P393" s="82" t="s">
        <v>197</v>
      </c>
      <c r="Q393" s="85" t="s">
        <v>1299</v>
      </c>
      <c r="R393" s="82" t="s">
        <v>566</v>
      </c>
      <c r="S393" s="82" t="s">
        <v>2032</v>
      </c>
      <c r="T393" s="87" t="str">
        <f>HYPERLINK("http://www.youtube.com/channel/UCvrOP4wl_i4HRpxMXAxcu0Q")</f>
        <v>http://www.youtube.com/channel/UCvrOP4wl_i4HRpxMXAxcu0Q</v>
      </c>
      <c r="U393" s="82"/>
      <c r="V393" s="82" t="s">
        <v>2371</v>
      </c>
      <c r="W393" s="87" t="str">
        <f t="shared" si="15"/>
        <v>https://www.youtube.com/watch?v=FdMiVnA6Az0</v>
      </c>
      <c r="X393" s="82" t="s">
        <v>2384</v>
      </c>
      <c r="Y393" s="82">
        <v>0</v>
      </c>
      <c r="Z393" s="89">
        <v>45243.39302083333</v>
      </c>
      <c r="AA393" s="89">
        <v>45243.39302083333</v>
      </c>
      <c r="AB393" s="82"/>
      <c r="AC393" s="82"/>
      <c r="AD393" s="85" t="s">
        <v>2423</v>
      </c>
      <c r="AE393" s="84" t="str">
        <f>REPLACE(INDEX(GroupVertices[Group],MATCH("~"&amp;Edges[[#This Row],[Vertex 1]],GroupVertices[Vertex],0)),1,1,"")</f>
        <v>3</v>
      </c>
      <c r="AF393" s="84" t="str">
        <f>REPLACE(INDEX(GroupVertices[Group],MATCH("~"&amp;Edges[[#This Row],[Vertex 2]],GroupVertices[Vertex],0)),1,1,"")</f>
        <v>3</v>
      </c>
    </row>
    <row r="394" spans="1:32" ht="15">
      <c r="A394" s="66" t="s">
        <v>567</v>
      </c>
      <c r="B394" s="66" t="s">
        <v>903</v>
      </c>
      <c r="C394" s="67"/>
      <c r="D394" s="68"/>
      <c r="E394" s="69"/>
      <c r="F394" s="70"/>
      <c r="G394" s="67"/>
      <c r="H394" s="71"/>
      <c r="I394" s="72"/>
      <c r="J394" s="72"/>
      <c r="K394" s="35"/>
      <c r="L394" s="80">
        <v>394</v>
      </c>
      <c r="M394" s="80"/>
      <c r="N394" s="74"/>
      <c r="O394" s="82" t="s">
        <v>909</v>
      </c>
      <c r="P394" s="82" t="s">
        <v>197</v>
      </c>
      <c r="Q394" s="85" t="s">
        <v>1300</v>
      </c>
      <c r="R394" s="82" t="s">
        <v>567</v>
      </c>
      <c r="S394" s="82" t="s">
        <v>2033</v>
      </c>
      <c r="T394" s="87" t="str">
        <f>HYPERLINK("http://www.youtube.com/channel/UCMY3RDHDiSf_7LVAGOYAFyQ")</f>
        <v>http://www.youtube.com/channel/UCMY3RDHDiSf_7LVAGOYAFyQ</v>
      </c>
      <c r="U394" s="82"/>
      <c r="V394" s="82" t="s">
        <v>2371</v>
      </c>
      <c r="W394" s="87" t="str">
        <f t="shared" si="15"/>
        <v>https://www.youtube.com/watch?v=FdMiVnA6Az0</v>
      </c>
      <c r="X394" s="82" t="s">
        <v>2384</v>
      </c>
      <c r="Y394" s="82">
        <v>0</v>
      </c>
      <c r="Z394" s="89">
        <v>45243.4308912037</v>
      </c>
      <c r="AA394" s="89">
        <v>45243.4308912037</v>
      </c>
      <c r="AB394" s="82"/>
      <c r="AC394" s="82"/>
      <c r="AD394" s="85" t="s">
        <v>2423</v>
      </c>
      <c r="AE394" s="84" t="str">
        <f>REPLACE(INDEX(GroupVertices[Group],MATCH("~"&amp;Edges[[#This Row],[Vertex 1]],GroupVertices[Vertex],0)),1,1,"")</f>
        <v>3</v>
      </c>
      <c r="AF394" s="84" t="str">
        <f>REPLACE(INDEX(GroupVertices[Group],MATCH("~"&amp;Edges[[#This Row],[Vertex 2]],GroupVertices[Vertex],0)),1,1,"")</f>
        <v>3</v>
      </c>
    </row>
    <row r="395" spans="1:32" ht="15">
      <c r="A395" s="66" t="s">
        <v>568</v>
      </c>
      <c r="B395" s="66" t="s">
        <v>903</v>
      </c>
      <c r="C395" s="67"/>
      <c r="D395" s="68"/>
      <c r="E395" s="69"/>
      <c r="F395" s="70"/>
      <c r="G395" s="67"/>
      <c r="H395" s="71"/>
      <c r="I395" s="72"/>
      <c r="J395" s="72"/>
      <c r="K395" s="35"/>
      <c r="L395" s="80">
        <v>395</v>
      </c>
      <c r="M395" s="80"/>
      <c r="N395" s="74"/>
      <c r="O395" s="82" t="s">
        <v>909</v>
      </c>
      <c r="P395" s="82" t="s">
        <v>197</v>
      </c>
      <c r="Q395" s="85" t="s">
        <v>1301</v>
      </c>
      <c r="R395" s="82" t="s">
        <v>568</v>
      </c>
      <c r="S395" s="82" t="s">
        <v>2034</v>
      </c>
      <c r="T395" s="87" t="str">
        <f>HYPERLINK("http://www.youtube.com/channel/UCbBW5z9N9pZC8K_E6b44xgg")</f>
        <v>http://www.youtube.com/channel/UCbBW5z9N9pZC8K_E6b44xgg</v>
      </c>
      <c r="U395" s="82"/>
      <c r="V395" s="82" t="s">
        <v>2371</v>
      </c>
      <c r="W395" s="87" t="str">
        <f t="shared" si="15"/>
        <v>https://www.youtube.com/watch?v=FdMiVnA6Az0</v>
      </c>
      <c r="X395" s="82" t="s">
        <v>2384</v>
      </c>
      <c r="Y395" s="82">
        <v>0</v>
      </c>
      <c r="Z395" s="89">
        <v>45243.47252314815</v>
      </c>
      <c r="AA395" s="89">
        <v>45243.47252314815</v>
      </c>
      <c r="AB395" s="82"/>
      <c r="AC395" s="82"/>
      <c r="AD395" s="85" t="s">
        <v>2423</v>
      </c>
      <c r="AE395" s="84" t="str">
        <f>REPLACE(INDEX(GroupVertices[Group],MATCH("~"&amp;Edges[[#This Row],[Vertex 1]],GroupVertices[Vertex],0)),1,1,"")</f>
        <v>3</v>
      </c>
      <c r="AF395" s="84" t="str">
        <f>REPLACE(INDEX(GroupVertices[Group],MATCH("~"&amp;Edges[[#This Row],[Vertex 2]],GroupVertices[Vertex],0)),1,1,"")</f>
        <v>3</v>
      </c>
    </row>
    <row r="396" spans="1:32" ht="15">
      <c r="A396" s="66" t="s">
        <v>569</v>
      </c>
      <c r="B396" s="66" t="s">
        <v>903</v>
      </c>
      <c r="C396" s="67"/>
      <c r="D396" s="68"/>
      <c r="E396" s="69"/>
      <c r="F396" s="70"/>
      <c r="G396" s="67"/>
      <c r="H396" s="71"/>
      <c r="I396" s="72"/>
      <c r="J396" s="72"/>
      <c r="K396" s="35"/>
      <c r="L396" s="80">
        <v>396</v>
      </c>
      <c r="M396" s="80"/>
      <c r="N396" s="74"/>
      <c r="O396" s="82" t="s">
        <v>909</v>
      </c>
      <c r="P396" s="82" t="s">
        <v>197</v>
      </c>
      <c r="Q396" s="85" t="s">
        <v>1302</v>
      </c>
      <c r="R396" s="82" t="s">
        <v>569</v>
      </c>
      <c r="S396" s="82" t="s">
        <v>2035</v>
      </c>
      <c r="T396" s="87" t="str">
        <f>HYPERLINK("http://www.youtube.com/channel/UCEZ4d9gaq9lswcI9Cg_KDdw")</f>
        <v>http://www.youtube.com/channel/UCEZ4d9gaq9lswcI9Cg_KDdw</v>
      </c>
      <c r="U396" s="82"/>
      <c r="V396" s="82" t="s">
        <v>2371</v>
      </c>
      <c r="W396" s="87" t="str">
        <f t="shared" si="15"/>
        <v>https://www.youtube.com/watch?v=FdMiVnA6Az0</v>
      </c>
      <c r="X396" s="82" t="s">
        <v>2384</v>
      </c>
      <c r="Y396" s="82">
        <v>0</v>
      </c>
      <c r="Z396" s="89">
        <v>45243.482303240744</v>
      </c>
      <c r="AA396" s="89">
        <v>45243.482303240744</v>
      </c>
      <c r="AB396" s="82"/>
      <c r="AC396" s="82"/>
      <c r="AD396" s="85" t="s">
        <v>2423</v>
      </c>
      <c r="AE396" s="84" t="str">
        <f>REPLACE(INDEX(GroupVertices[Group],MATCH("~"&amp;Edges[[#This Row],[Vertex 1]],GroupVertices[Vertex],0)),1,1,"")</f>
        <v>3</v>
      </c>
      <c r="AF396" s="84" t="str">
        <f>REPLACE(INDEX(GroupVertices[Group],MATCH("~"&amp;Edges[[#This Row],[Vertex 2]],GroupVertices[Vertex],0)),1,1,"")</f>
        <v>3</v>
      </c>
    </row>
    <row r="397" spans="1:32" ht="15">
      <c r="A397" s="66" t="s">
        <v>570</v>
      </c>
      <c r="B397" s="66" t="s">
        <v>903</v>
      </c>
      <c r="C397" s="67"/>
      <c r="D397" s="68"/>
      <c r="E397" s="69"/>
      <c r="F397" s="70"/>
      <c r="G397" s="67"/>
      <c r="H397" s="71"/>
      <c r="I397" s="72"/>
      <c r="J397" s="72"/>
      <c r="K397" s="35"/>
      <c r="L397" s="80">
        <v>397</v>
      </c>
      <c r="M397" s="80"/>
      <c r="N397" s="74"/>
      <c r="O397" s="82" t="s">
        <v>909</v>
      </c>
      <c r="P397" s="82" t="s">
        <v>197</v>
      </c>
      <c r="Q397" s="85" t="s">
        <v>1303</v>
      </c>
      <c r="R397" s="82" t="s">
        <v>570</v>
      </c>
      <c r="S397" s="82" t="s">
        <v>2036</v>
      </c>
      <c r="T397" s="87" t="str">
        <f>HYPERLINK("http://www.youtube.com/channel/UCz-UYU6VdZ8vtY7vMwlREtQ")</f>
        <v>http://www.youtube.com/channel/UCz-UYU6VdZ8vtY7vMwlREtQ</v>
      </c>
      <c r="U397" s="82"/>
      <c r="V397" s="82" t="s">
        <v>2371</v>
      </c>
      <c r="W397" s="87" t="str">
        <f t="shared" si="15"/>
        <v>https://www.youtube.com/watch?v=FdMiVnA6Az0</v>
      </c>
      <c r="X397" s="82" t="s">
        <v>2384</v>
      </c>
      <c r="Y397" s="82">
        <v>0</v>
      </c>
      <c r="Z397" s="89">
        <v>45243.706724537034</v>
      </c>
      <c r="AA397" s="89">
        <v>45243.706724537034</v>
      </c>
      <c r="AB397" s="82"/>
      <c r="AC397" s="82"/>
      <c r="AD397" s="85" t="s">
        <v>2423</v>
      </c>
      <c r="AE397" s="84" t="str">
        <f>REPLACE(INDEX(GroupVertices[Group],MATCH("~"&amp;Edges[[#This Row],[Vertex 1]],GroupVertices[Vertex],0)),1,1,"")</f>
        <v>3</v>
      </c>
      <c r="AF397" s="84" t="str">
        <f>REPLACE(INDEX(GroupVertices[Group],MATCH("~"&amp;Edges[[#This Row],[Vertex 2]],GroupVertices[Vertex],0)),1,1,"")</f>
        <v>3</v>
      </c>
    </row>
    <row r="398" spans="1:32" ht="15">
      <c r="A398" s="66" t="s">
        <v>571</v>
      </c>
      <c r="B398" s="66" t="s">
        <v>903</v>
      </c>
      <c r="C398" s="67"/>
      <c r="D398" s="68"/>
      <c r="E398" s="69"/>
      <c r="F398" s="70"/>
      <c r="G398" s="67"/>
      <c r="H398" s="71"/>
      <c r="I398" s="72"/>
      <c r="J398" s="72"/>
      <c r="K398" s="35"/>
      <c r="L398" s="80">
        <v>398</v>
      </c>
      <c r="M398" s="80"/>
      <c r="N398" s="74"/>
      <c r="O398" s="82" t="s">
        <v>909</v>
      </c>
      <c r="P398" s="82" t="s">
        <v>197</v>
      </c>
      <c r="Q398" s="85" t="s">
        <v>1304</v>
      </c>
      <c r="R398" s="82" t="s">
        <v>571</v>
      </c>
      <c r="S398" s="82" t="s">
        <v>2037</v>
      </c>
      <c r="T398" s="87" t="str">
        <f>HYPERLINK("http://www.youtube.com/channel/UCj5Dg38klYXD4xTk0KEvSiA")</f>
        <v>http://www.youtube.com/channel/UCj5Dg38klYXD4xTk0KEvSiA</v>
      </c>
      <c r="U398" s="82"/>
      <c r="V398" s="82" t="s">
        <v>2371</v>
      </c>
      <c r="W398" s="87" t="str">
        <f t="shared" si="15"/>
        <v>https://www.youtube.com/watch?v=FdMiVnA6Az0</v>
      </c>
      <c r="X398" s="82" t="s">
        <v>2384</v>
      </c>
      <c r="Y398" s="82">
        <v>0</v>
      </c>
      <c r="Z398" s="89">
        <v>45243.7337962963</v>
      </c>
      <c r="AA398" s="89">
        <v>45243.7337962963</v>
      </c>
      <c r="AB398" s="82"/>
      <c r="AC398" s="82"/>
      <c r="AD398" s="85" t="s">
        <v>2423</v>
      </c>
      <c r="AE398" s="84" t="str">
        <f>REPLACE(INDEX(GroupVertices[Group],MATCH("~"&amp;Edges[[#This Row],[Vertex 1]],GroupVertices[Vertex],0)),1,1,"")</f>
        <v>3</v>
      </c>
      <c r="AF398" s="84" t="str">
        <f>REPLACE(INDEX(GroupVertices[Group],MATCH("~"&amp;Edges[[#This Row],[Vertex 2]],GroupVertices[Vertex],0)),1,1,"")</f>
        <v>3</v>
      </c>
    </row>
    <row r="399" spans="1:32" ht="15">
      <c r="A399" s="66" t="s">
        <v>572</v>
      </c>
      <c r="B399" s="66" t="s">
        <v>903</v>
      </c>
      <c r="C399" s="67"/>
      <c r="D399" s="68"/>
      <c r="E399" s="69"/>
      <c r="F399" s="70"/>
      <c r="G399" s="67"/>
      <c r="H399" s="71"/>
      <c r="I399" s="72"/>
      <c r="J399" s="72"/>
      <c r="K399" s="35"/>
      <c r="L399" s="80">
        <v>399</v>
      </c>
      <c r="M399" s="80"/>
      <c r="N399" s="74"/>
      <c r="O399" s="82" t="s">
        <v>909</v>
      </c>
      <c r="P399" s="82" t="s">
        <v>197</v>
      </c>
      <c r="Q399" s="85" t="s">
        <v>1305</v>
      </c>
      <c r="R399" s="82" t="s">
        <v>572</v>
      </c>
      <c r="S399" s="82" t="s">
        <v>2038</v>
      </c>
      <c r="T399" s="87" t="str">
        <f>HYPERLINK("http://www.youtube.com/channel/UCdBoH5LApfFz2kBrNdquchQ")</f>
        <v>http://www.youtube.com/channel/UCdBoH5LApfFz2kBrNdquchQ</v>
      </c>
      <c r="U399" s="82"/>
      <c r="V399" s="82" t="s">
        <v>2371</v>
      </c>
      <c r="W399" s="87" t="str">
        <f t="shared" si="15"/>
        <v>https://www.youtube.com/watch?v=FdMiVnA6Az0</v>
      </c>
      <c r="X399" s="82" t="s">
        <v>2384</v>
      </c>
      <c r="Y399" s="82">
        <v>0</v>
      </c>
      <c r="Z399" s="89">
        <v>45243.82210648148</v>
      </c>
      <c r="AA399" s="89">
        <v>45243.82210648148</v>
      </c>
      <c r="AB399" s="82" t="s">
        <v>2403</v>
      </c>
      <c r="AC399" s="82" t="s">
        <v>2413</v>
      </c>
      <c r="AD399" s="85" t="s">
        <v>2423</v>
      </c>
      <c r="AE399" s="84" t="str">
        <f>REPLACE(INDEX(GroupVertices[Group],MATCH("~"&amp;Edges[[#This Row],[Vertex 1]],GroupVertices[Vertex],0)),1,1,"")</f>
        <v>3</v>
      </c>
      <c r="AF399" s="84" t="str">
        <f>REPLACE(INDEX(GroupVertices[Group],MATCH("~"&amp;Edges[[#This Row],[Vertex 2]],GroupVertices[Vertex],0)),1,1,"")</f>
        <v>3</v>
      </c>
    </row>
    <row r="400" spans="1:32" ht="15">
      <c r="A400" s="66" t="s">
        <v>573</v>
      </c>
      <c r="B400" s="66" t="s">
        <v>903</v>
      </c>
      <c r="C400" s="67"/>
      <c r="D400" s="68"/>
      <c r="E400" s="69"/>
      <c r="F400" s="70"/>
      <c r="G400" s="67"/>
      <c r="H400" s="71"/>
      <c r="I400" s="72"/>
      <c r="J400" s="72"/>
      <c r="K400" s="35"/>
      <c r="L400" s="80">
        <v>400</v>
      </c>
      <c r="M400" s="80"/>
      <c r="N400" s="74"/>
      <c r="O400" s="82" t="s">
        <v>909</v>
      </c>
      <c r="P400" s="82" t="s">
        <v>197</v>
      </c>
      <c r="Q400" s="85" t="s">
        <v>1306</v>
      </c>
      <c r="R400" s="82" t="s">
        <v>573</v>
      </c>
      <c r="S400" s="82" t="s">
        <v>2039</v>
      </c>
      <c r="T400" s="87" t="str">
        <f>HYPERLINK("http://www.youtube.com/channel/UCjLkBizRPwHhXNKosc22acw")</f>
        <v>http://www.youtube.com/channel/UCjLkBizRPwHhXNKosc22acw</v>
      </c>
      <c r="U400" s="82"/>
      <c r="V400" s="82" t="s">
        <v>2371</v>
      </c>
      <c r="W400" s="87" t="str">
        <f t="shared" si="15"/>
        <v>https://www.youtube.com/watch?v=FdMiVnA6Az0</v>
      </c>
      <c r="X400" s="82" t="s">
        <v>2384</v>
      </c>
      <c r="Y400" s="82">
        <v>0</v>
      </c>
      <c r="Z400" s="89">
        <v>45243.86525462963</v>
      </c>
      <c r="AA400" s="89">
        <v>45243.86525462963</v>
      </c>
      <c r="AB400" s="82"/>
      <c r="AC400" s="82"/>
      <c r="AD400" s="85" t="s">
        <v>2423</v>
      </c>
      <c r="AE400" s="84" t="str">
        <f>REPLACE(INDEX(GroupVertices[Group],MATCH("~"&amp;Edges[[#This Row],[Vertex 1]],GroupVertices[Vertex],0)),1,1,"")</f>
        <v>3</v>
      </c>
      <c r="AF400" s="84" t="str">
        <f>REPLACE(INDEX(GroupVertices[Group],MATCH("~"&amp;Edges[[#This Row],[Vertex 2]],GroupVertices[Vertex],0)),1,1,"")</f>
        <v>3</v>
      </c>
    </row>
    <row r="401" spans="1:32" ht="15">
      <c r="A401" s="66" t="s">
        <v>574</v>
      </c>
      <c r="B401" s="66" t="s">
        <v>903</v>
      </c>
      <c r="C401" s="67"/>
      <c r="D401" s="68"/>
      <c r="E401" s="69"/>
      <c r="F401" s="70"/>
      <c r="G401" s="67"/>
      <c r="H401" s="71"/>
      <c r="I401" s="72"/>
      <c r="J401" s="72"/>
      <c r="K401" s="35"/>
      <c r="L401" s="80">
        <v>401</v>
      </c>
      <c r="M401" s="80"/>
      <c r="N401" s="74"/>
      <c r="O401" s="82" t="s">
        <v>909</v>
      </c>
      <c r="P401" s="82" t="s">
        <v>197</v>
      </c>
      <c r="Q401" s="85" t="s">
        <v>1307</v>
      </c>
      <c r="R401" s="82" t="s">
        <v>574</v>
      </c>
      <c r="S401" s="82" t="s">
        <v>2040</v>
      </c>
      <c r="T401" s="87" t="str">
        <f>HYPERLINK("http://www.youtube.com/channel/UCX9_xs0o8ST9uWgo-bXhM-w")</f>
        <v>http://www.youtube.com/channel/UCX9_xs0o8ST9uWgo-bXhM-w</v>
      </c>
      <c r="U401" s="82"/>
      <c r="V401" s="82" t="s">
        <v>2371</v>
      </c>
      <c r="W401" s="87" t="str">
        <f t="shared" si="15"/>
        <v>https://www.youtube.com/watch?v=FdMiVnA6Az0</v>
      </c>
      <c r="X401" s="82" t="s">
        <v>2384</v>
      </c>
      <c r="Y401" s="82">
        <v>0</v>
      </c>
      <c r="Z401" s="89">
        <v>45244.283680555556</v>
      </c>
      <c r="AA401" s="89">
        <v>45244.283680555556</v>
      </c>
      <c r="AB401" s="82"/>
      <c r="AC401" s="82"/>
      <c r="AD401" s="85" t="s">
        <v>2423</v>
      </c>
      <c r="AE401" s="84" t="str">
        <f>REPLACE(INDEX(GroupVertices[Group],MATCH("~"&amp;Edges[[#This Row],[Vertex 1]],GroupVertices[Vertex],0)),1,1,"")</f>
        <v>3</v>
      </c>
      <c r="AF401" s="84" t="str">
        <f>REPLACE(INDEX(GroupVertices[Group],MATCH("~"&amp;Edges[[#This Row],[Vertex 2]],GroupVertices[Vertex],0)),1,1,"")</f>
        <v>3</v>
      </c>
    </row>
    <row r="402" spans="1:32" ht="15">
      <c r="A402" s="66" t="s">
        <v>575</v>
      </c>
      <c r="B402" s="66" t="s">
        <v>903</v>
      </c>
      <c r="C402" s="67"/>
      <c r="D402" s="68"/>
      <c r="E402" s="69"/>
      <c r="F402" s="70"/>
      <c r="G402" s="67"/>
      <c r="H402" s="71"/>
      <c r="I402" s="72"/>
      <c r="J402" s="72"/>
      <c r="K402" s="35"/>
      <c r="L402" s="80">
        <v>402</v>
      </c>
      <c r="M402" s="80"/>
      <c r="N402" s="74"/>
      <c r="O402" s="82" t="s">
        <v>909</v>
      </c>
      <c r="P402" s="82" t="s">
        <v>197</v>
      </c>
      <c r="Q402" s="85" t="s">
        <v>1308</v>
      </c>
      <c r="R402" s="82" t="s">
        <v>575</v>
      </c>
      <c r="S402" s="82" t="s">
        <v>2041</v>
      </c>
      <c r="T402" s="87" t="str">
        <f>HYPERLINK("http://www.youtube.com/channel/UCz_1_52Zn3AUvSInasP_RBw")</f>
        <v>http://www.youtube.com/channel/UCz_1_52Zn3AUvSInasP_RBw</v>
      </c>
      <c r="U402" s="82"/>
      <c r="V402" s="82" t="s">
        <v>2371</v>
      </c>
      <c r="W402" s="87" t="str">
        <f t="shared" si="15"/>
        <v>https://www.youtube.com/watch?v=FdMiVnA6Az0</v>
      </c>
      <c r="X402" s="82" t="s">
        <v>2384</v>
      </c>
      <c r="Y402" s="82">
        <v>0</v>
      </c>
      <c r="Z402" s="89">
        <v>45244.44447916667</v>
      </c>
      <c r="AA402" s="89">
        <v>45244.44447916667</v>
      </c>
      <c r="AB402" s="82"/>
      <c r="AC402" s="82"/>
      <c r="AD402" s="85" t="s">
        <v>2423</v>
      </c>
      <c r="AE402" s="84" t="str">
        <f>REPLACE(INDEX(GroupVertices[Group],MATCH("~"&amp;Edges[[#This Row],[Vertex 1]],GroupVertices[Vertex],0)),1,1,"")</f>
        <v>3</v>
      </c>
      <c r="AF402" s="84" t="str">
        <f>REPLACE(INDEX(GroupVertices[Group],MATCH("~"&amp;Edges[[#This Row],[Vertex 2]],GroupVertices[Vertex],0)),1,1,"")</f>
        <v>3</v>
      </c>
    </row>
    <row r="403" spans="1:32" ht="15">
      <c r="A403" s="66" t="s">
        <v>576</v>
      </c>
      <c r="B403" s="66" t="s">
        <v>903</v>
      </c>
      <c r="C403" s="67"/>
      <c r="D403" s="68"/>
      <c r="E403" s="69"/>
      <c r="F403" s="70"/>
      <c r="G403" s="67"/>
      <c r="H403" s="71"/>
      <c r="I403" s="72"/>
      <c r="J403" s="72"/>
      <c r="K403" s="35"/>
      <c r="L403" s="80">
        <v>403</v>
      </c>
      <c r="M403" s="80"/>
      <c r="N403" s="74"/>
      <c r="O403" s="82" t="s">
        <v>909</v>
      </c>
      <c r="P403" s="82" t="s">
        <v>197</v>
      </c>
      <c r="Q403" s="85" t="s">
        <v>1309</v>
      </c>
      <c r="R403" s="82" t="s">
        <v>576</v>
      </c>
      <c r="S403" s="82" t="s">
        <v>2042</v>
      </c>
      <c r="T403" s="87" t="str">
        <f>HYPERLINK("http://www.youtube.com/channel/UChE_wus1YKEgXkgCMpN9v9w")</f>
        <v>http://www.youtube.com/channel/UChE_wus1YKEgXkgCMpN9v9w</v>
      </c>
      <c r="U403" s="82"/>
      <c r="V403" s="82" t="s">
        <v>2371</v>
      </c>
      <c r="W403" s="87" t="str">
        <f t="shared" si="15"/>
        <v>https://www.youtube.com/watch?v=FdMiVnA6Az0</v>
      </c>
      <c r="X403" s="82" t="s">
        <v>2384</v>
      </c>
      <c r="Y403" s="82">
        <v>0</v>
      </c>
      <c r="Z403" s="89">
        <v>45244.59885416667</v>
      </c>
      <c r="AA403" s="89">
        <v>45244.59885416667</v>
      </c>
      <c r="AB403" s="82"/>
      <c r="AC403" s="82"/>
      <c r="AD403" s="85" t="s">
        <v>2423</v>
      </c>
      <c r="AE403" s="84" t="str">
        <f>REPLACE(INDEX(GroupVertices[Group],MATCH("~"&amp;Edges[[#This Row],[Vertex 1]],GroupVertices[Vertex],0)),1,1,"")</f>
        <v>3</v>
      </c>
      <c r="AF403" s="84" t="str">
        <f>REPLACE(INDEX(GroupVertices[Group],MATCH("~"&amp;Edges[[#This Row],[Vertex 2]],GroupVertices[Vertex],0)),1,1,"")</f>
        <v>3</v>
      </c>
    </row>
    <row r="404" spans="1:32" ht="15">
      <c r="A404" s="66" t="s">
        <v>577</v>
      </c>
      <c r="B404" s="66" t="s">
        <v>903</v>
      </c>
      <c r="C404" s="67"/>
      <c r="D404" s="68"/>
      <c r="E404" s="69"/>
      <c r="F404" s="70"/>
      <c r="G404" s="67"/>
      <c r="H404" s="71"/>
      <c r="I404" s="72"/>
      <c r="J404" s="72"/>
      <c r="K404" s="35"/>
      <c r="L404" s="80">
        <v>404</v>
      </c>
      <c r="M404" s="80"/>
      <c r="N404" s="74"/>
      <c r="O404" s="82" t="s">
        <v>909</v>
      </c>
      <c r="P404" s="82" t="s">
        <v>197</v>
      </c>
      <c r="Q404" s="85" t="s">
        <v>1310</v>
      </c>
      <c r="R404" s="82" t="s">
        <v>577</v>
      </c>
      <c r="S404" s="82" t="s">
        <v>2043</v>
      </c>
      <c r="T404" s="87" t="str">
        <f>HYPERLINK("http://www.youtube.com/channel/UC_Bio0vuo7vfI6Alhk1KLWg")</f>
        <v>http://www.youtube.com/channel/UC_Bio0vuo7vfI6Alhk1KLWg</v>
      </c>
      <c r="U404" s="82"/>
      <c r="V404" s="82" t="s">
        <v>2371</v>
      </c>
      <c r="W404" s="87" t="str">
        <f t="shared" si="15"/>
        <v>https://www.youtube.com/watch?v=FdMiVnA6Az0</v>
      </c>
      <c r="X404" s="82" t="s">
        <v>2384</v>
      </c>
      <c r="Y404" s="82">
        <v>0</v>
      </c>
      <c r="Z404" s="89">
        <v>45244.94284722222</v>
      </c>
      <c r="AA404" s="89">
        <v>45244.94284722222</v>
      </c>
      <c r="AB404" s="82"/>
      <c r="AC404" s="82"/>
      <c r="AD404" s="85" t="s">
        <v>2423</v>
      </c>
      <c r="AE404" s="84" t="str">
        <f>REPLACE(INDEX(GroupVertices[Group],MATCH("~"&amp;Edges[[#This Row],[Vertex 1]],GroupVertices[Vertex],0)),1,1,"")</f>
        <v>3</v>
      </c>
      <c r="AF404" s="84" t="str">
        <f>REPLACE(INDEX(GroupVertices[Group],MATCH("~"&amp;Edges[[#This Row],[Vertex 2]],GroupVertices[Vertex],0)),1,1,"")</f>
        <v>3</v>
      </c>
    </row>
    <row r="405" spans="1:32" ht="15">
      <c r="A405" s="66" t="s">
        <v>578</v>
      </c>
      <c r="B405" s="66" t="s">
        <v>903</v>
      </c>
      <c r="C405" s="67"/>
      <c r="D405" s="68"/>
      <c r="E405" s="69"/>
      <c r="F405" s="70"/>
      <c r="G405" s="67"/>
      <c r="H405" s="71"/>
      <c r="I405" s="72"/>
      <c r="J405" s="72"/>
      <c r="K405" s="35"/>
      <c r="L405" s="80">
        <v>405</v>
      </c>
      <c r="M405" s="80"/>
      <c r="N405" s="74"/>
      <c r="O405" s="82" t="s">
        <v>909</v>
      </c>
      <c r="P405" s="82" t="s">
        <v>197</v>
      </c>
      <c r="Q405" s="85" t="s">
        <v>1311</v>
      </c>
      <c r="R405" s="82" t="s">
        <v>578</v>
      </c>
      <c r="S405" s="82" t="s">
        <v>2044</v>
      </c>
      <c r="T405" s="87" t="str">
        <f>HYPERLINK("http://www.youtube.com/channel/UC7kxKThp2d5aQCEBp3zCV4w")</f>
        <v>http://www.youtube.com/channel/UC7kxKThp2d5aQCEBp3zCV4w</v>
      </c>
      <c r="U405" s="82"/>
      <c r="V405" s="82" t="s">
        <v>2371</v>
      </c>
      <c r="W405" s="87" t="str">
        <f t="shared" si="15"/>
        <v>https://www.youtube.com/watch?v=FdMiVnA6Az0</v>
      </c>
      <c r="X405" s="82" t="s">
        <v>2384</v>
      </c>
      <c r="Y405" s="82">
        <v>0</v>
      </c>
      <c r="Z405" s="89">
        <v>45245.105416666665</v>
      </c>
      <c r="AA405" s="89">
        <v>45245.10565972222</v>
      </c>
      <c r="AB405" s="82"/>
      <c r="AC405" s="82"/>
      <c r="AD405" s="85" t="s">
        <v>2423</v>
      </c>
      <c r="AE405" s="84" t="str">
        <f>REPLACE(INDEX(GroupVertices[Group],MATCH("~"&amp;Edges[[#This Row],[Vertex 1]],GroupVertices[Vertex],0)),1,1,"")</f>
        <v>3</v>
      </c>
      <c r="AF405" s="84" t="str">
        <f>REPLACE(INDEX(GroupVertices[Group],MATCH("~"&amp;Edges[[#This Row],[Vertex 2]],GroupVertices[Vertex],0)),1,1,"")</f>
        <v>3</v>
      </c>
    </row>
    <row r="406" spans="1:32" ht="15">
      <c r="A406" s="66" t="s">
        <v>579</v>
      </c>
      <c r="B406" s="66" t="s">
        <v>903</v>
      </c>
      <c r="C406" s="67"/>
      <c r="D406" s="68"/>
      <c r="E406" s="69"/>
      <c r="F406" s="70"/>
      <c r="G406" s="67"/>
      <c r="H406" s="71"/>
      <c r="I406" s="72"/>
      <c r="J406" s="72"/>
      <c r="K406" s="35"/>
      <c r="L406" s="80">
        <v>406</v>
      </c>
      <c r="M406" s="80"/>
      <c r="N406" s="74"/>
      <c r="O406" s="82" t="s">
        <v>909</v>
      </c>
      <c r="P406" s="82" t="s">
        <v>197</v>
      </c>
      <c r="Q406" s="85" t="s">
        <v>1312</v>
      </c>
      <c r="R406" s="82" t="s">
        <v>579</v>
      </c>
      <c r="S406" s="82" t="s">
        <v>2045</v>
      </c>
      <c r="T406" s="87" t="str">
        <f>HYPERLINK("http://www.youtube.com/channel/UCs6om7s3fEJ0PlQR4hEacTA")</f>
        <v>http://www.youtube.com/channel/UCs6om7s3fEJ0PlQR4hEacTA</v>
      </c>
      <c r="U406" s="82"/>
      <c r="V406" s="82" t="s">
        <v>2371</v>
      </c>
      <c r="W406" s="87" t="str">
        <f t="shared" si="15"/>
        <v>https://www.youtube.com/watch?v=FdMiVnA6Az0</v>
      </c>
      <c r="X406" s="82" t="s">
        <v>2384</v>
      </c>
      <c r="Y406" s="82">
        <v>0</v>
      </c>
      <c r="Z406" s="89">
        <v>45245.57697916667</v>
      </c>
      <c r="AA406" s="89">
        <v>45245.57697916667</v>
      </c>
      <c r="AB406" s="82"/>
      <c r="AC406" s="82"/>
      <c r="AD406" s="85" t="s">
        <v>2423</v>
      </c>
      <c r="AE406" s="84" t="str">
        <f>REPLACE(INDEX(GroupVertices[Group],MATCH("~"&amp;Edges[[#This Row],[Vertex 1]],GroupVertices[Vertex],0)),1,1,"")</f>
        <v>3</v>
      </c>
      <c r="AF406" s="84" t="str">
        <f>REPLACE(INDEX(GroupVertices[Group],MATCH("~"&amp;Edges[[#This Row],[Vertex 2]],GroupVertices[Vertex],0)),1,1,"")</f>
        <v>3</v>
      </c>
    </row>
    <row r="407" spans="1:32" ht="15">
      <c r="A407" s="66" t="s">
        <v>579</v>
      </c>
      <c r="B407" s="66" t="s">
        <v>903</v>
      </c>
      <c r="C407" s="67"/>
      <c r="D407" s="68"/>
      <c r="E407" s="69"/>
      <c r="F407" s="70"/>
      <c r="G407" s="67"/>
      <c r="H407" s="71"/>
      <c r="I407" s="72"/>
      <c r="J407" s="72"/>
      <c r="K407" s="35"/>
      <c r="L407" s="80">
        <v>407</v>
      </c>
      <c r="M407" s="80"/>
      <c r="N407" s="74"/>
      <c r="O407" s="82" t="s">
        <v>909</v>
      </c>
      <c r="P407" s="82" t="s">
        <v>197</v>
      </c>
      <c r="Q407" s="85" t="s">
        <v>1313</v>
      </c>
      <c r="R407" s="82" t="s">
        <v>579</v>
      </c>
      <c r="S407" s="82" t="s">
        <v>2045</v>
      </c>
      <c r="T407" s="87" t="str">
        <f>HYPERLINK("http://www.youtube.com/channel/UCs6om7s3fEJ0PlQR4hEacTA")</f>
        <v>http://www.youtube.com/channel/UCs6om7s3fEJ0PlQR4hEacTA</v>
      </c>
      <c r="U407" s="82"/>
      <c r="V407" s="82" t="s">
        <v>2371</v>
      </c>
      <c r="W407" s="87" t="str">
        <f t="shared" si="15"/>
        <v>https://www.youtube.com/watch?v=FdMiVnA6Az0</v>
      </c>
      <c r="X407" s="82" t="s">
        <v>2384</v>
      </c>
      <c r="Y407" s="82">
        <v>0</v>
      </c>
      <c r="Z407" s="89">
        <v>45245.5815625</v>
      </c>
      <c r="AA407" s="89">
        <v>45245.5815625</v>
      </c>
      <c r="AB407" s="82"/>
      <c r="AC407" s="82"/>
      <c r="AD407" s="85" t="s">
        <v>2423</v>
      </c>
      <c r="AE407" s="84" t="str">
        <f>REPLACE(INDEX(GroupVertices[Group],MATCH("~"&amp;Edges[[#This Row],[Vertex 1]],GroupVertices[Vertex],0)),1,1,"")</f>
        <v>3</v>
      </c>
      <c r="AF407" s="84" t="str">
        <f>REPLACE(INDEX(GroupVertices[Group],MATCH("~"&amp;Edges[[#This Row],[Vertex 2]],GroupVertices[Vertex],0)),1,1,"")</f>
        <v>3</v>
      </c>
    </row>
    <row r="408" spans="1:32" ht="15">
      <c r="A408" s="66" t="s">
        <v>580</v>
      </c>
      <c r="B408" s="66" t="s">
        <v>903</v>
      </c>
      <c r="C408" s="67"/>
      <c r="D408" s="68"/>
      <c r="E408" s="69"/>
      <c r="F408" s="70"/>
      <c r="G408" s="67"/>
      <c r="H408" s="71"/>
      <c r="I408" s="72"/>
      <c r="J408" s="72"/>
      <c r="K408" s="35"/>
      <c r="L408" s="80">
        <v>408</v>
      </c>
      <c r="M408" s="80"/>
      <c r="N408" s="74"/>
      <c r="O408" s="82" t="s">
        <v>909</v>
      </c>
      <c r="P408" s="82" t="s">
        <v>197</v>
      </c>
      <c r="Q408" s="85" t="s">
        <v>1314</v>
      </c>
      <c r="R408" s="82" t="s">
        <v>580</v>
      </c>
      <c r="S408" s="82" t="s">
        <v>2046</v>
      </c>
      <c r="T408" s="87" t="str">
        <f>HYPERLINK("http://www.youtube.com/channel/UCur3WHP9qwrNuQigbjJSZYA")</f>
        <v>http://www.youtube.com/channel/UCur3WHP9qwrNuQigbjJSZYA</v>
      </c>
      <c r="U408" s="82"/>
      <c r="V408" s="82" t="s">
        <v>2371</v>
      </c>
      <c r="W408" s="87" t="str">
        <f t="shared" si="15"/>
        <v>https://www.youtube.com/watch?v=FdMiVnA6Az0</v>
      </c>
      <c r="X408" s="82" t="s">
        <v>2384</v>
      </c>
      <c r="Y408" s="82">
        <v>0</v>
      </c>
      <c r="Z408" s="89">
        <v>45245.739641203705</v>
      </c>
      <c r="AA408" s="89">
        <v>45245.739641203705</v>
      </c>
      <c r="AB408" s="82"/>
      <c r="AC408" s="82"/>
      <c r="AD408" s="85" t="s">
        <v>2423</v>
      </c>
      <c r="AE408" s="84" t="str">
        <f>REPLACE(INDEX(GroupVertices[Group],MATCH("~"&amp;Edges[[#This Row],[Vertex 1]],GroupVertices[Vertex],0)),1,1,"")</f>
        <v>3</v>
      </c>
      <c r="AF408" s="84" t="str">
        <f>REPLACE(INDEX(GroupVertices[Group],MATCH("~"&amp;Edges[[#This Row],[Vertex 2]],GroupVertices[Vertex],0)),1,1,"")</f>
        <v>3</v>
      </c>
    </row>
    <row r="409" spans="1:32" ht="15">
      <c r="A409" s="66" t="s">
        <v>581</v>
      </c>
      <c r="B409" s="66" t="s">
        <v>903</v>
      </c>
      <c r="C409" s="67"/>
      <c r="D409" s="68"/>
      <c r="E409" s="69"/>
      <c r="F409" s="70"/>
      <c r="G409" s="67"/>
      <c r="H409" s="71"/>
      <c r="I409" s="72"/>
      <c r="J409" s="72"/>
      <c r="K409" s="35"/>
      <c r="L409" s="80">
        <v>409</v>
      </c>
      <c r="M409" s="80"/>
      <c r="N409" s="74"/>
      <c r="O409" s="82" t="s">
        <v>909</v>
      </c>
      <c r="P409" s="82" t="s">
        <v>197</v>
      </c>
      <c r="Q409" s="85" t="s">
        <v>1315</v>
      </c>
      <c r="R409" s="82" t="s">
        <v>581</v>
      </c>
      <c r="S409" s="82" t="s">
        <v>2047</v>
      </c>
      <c r="T409" s="87" t="str">
        <f>HYPERLINK("http://www.youtube.com/channel/UCv5ZEPEjgqejTgMQhOOv3MQ")</f>
        <v>http://www.youtube.com/channel/UCv5ZEPEjgqejTgMQhOOv3MQ</v>
      </c>
      <c r="U409" s="82"/>
      <c r="V409" s="82" t="s">
        <v>2371</v>
      </c>
      <c r="W409" s="87" t="str">
        <f t="shared" si="15"/>
        <v>https://www.youtube.com/watch?v=FdMiVnA6Az0</v>
      </c>
      <c r="X409" s="82" t="s">
        <v>2384</v>
      </c>
      <c r="Y409" s="82">
        <v>0</v>
      </c>
      <c r="Z409" s="89">
        <v>45246.01115740741</v>
      </c>
      <c r="AA409" s="89">
        <v>45246.01115740741</v>
      </c>
      <c r="AB409" s="82"/>
      <c r="AC409" s="82"/>
      <c r="AD409" s="85" t="s">
        <v>2423</v>
      </c>
      <c r="AE409" s="84" t="str">
        <f>REPLACE(INDEX(GroupVertices[Group],MATCH("~"&amp;Edges[[#This Row],[Vertex 1]],GroupVertices[Vertex],0)),1,1,"")</f>
        <v>3</v>
      </c>
      <c r="AF409" s="84" t="str">
        <f>REPLACE(INDEX(GroupVertices[Group],MATCH("~"&amp;Edges[[#This Row],[Vertex 2]],GroupVertices[Vertex],0)),1,1,"")</f>
        <v>3</v>
      </c>
    </row>
    <row r="410" spans="1:32" ht="15">
      <c r="A410" s="66" t="s">
        <v>582</v>
      </c>
      <c r="B410" s="66" t="s">
        <v>903</v>
      </c>
      <c r="C410" s="67"/>
      <c r="D410" s="68"/>
      <c r="E410" s="69"/>
      <c r="F410" s="70"/>
      <c r="G410" s="67"/>
      <c r="H410" s="71"/>
      <c r="I410" s="72"/>
      <c r="J410" s="72"/>
      <c r="K410" s="35"/>
      <c r="L410" s="80">
        <v>410</v>
      </c>
      <c r="M410" s="80"/>
      <c r="N410" s="74"/>
      <c r="O410" s="82" t="s">
        <v>909</v>
      </c>
      <c r="P410" s="82" t="s">
        <v>197</v>
      </c>
      <c r="Q410" s="85" t="s">
        <v>1316</v>
      </c>
      <c r="R410" s="82" t="s">
        <v>582</v>
      </c>
      <c r="S410" s="82" t="s">
        <v>2048</v>
      </c>
      <c r="T410" s="87" t="str">
        <f>HYPERLINK("http://www.youtube.com/channel/UCQTLaguKLDCsmewuUDo50Vw")</f>
        <v>http://www.youtube.com/channel/UCQTLaguKLDCsmewuUDo50Vw</v>
      </c>
      <c r="U410" s="82"/>
      <c r="V410" s="82" t="s">
        <v>2371</v>
      </c>
      <c r="W410" s="87" t="str">
        <f t="shared" si="15"/>
        <v>https://www.youtube.com/watch?v=FdMiVnA6Az0</v>
      </c>
      <c r="X410" s="82" t="s">
        <v>2384</v>
      </c>
      <c r="Y410" s="82">
        <v>0</v>
      </c>
      <c r="Z410" s="89">
        <v>45246.24443287037</v>
      </c>
      <c r="AA410" s="89">
        <v>45246.24443287037</v>
      </c>
      <c r="AB410" s="82"/>
      <c r="AC410" s="82"/>
      <c r="AD410" s="85" t="s">
        <v>2423</v>
      </c>
      <c r="AE410" s="84" t="str">
        <f>REPLACE(INDEX(GroupVertices[Group],MATCH("~"&amp;Edges[[#This Row],[Vertex 1]],GroupVertices[Vertex],0)),1,1,"")</f>
        <v>3</v>
      </c>
      <c r="AF410" s="84" t="str">
        <f>REPLACE(INDEX(GroupVertices[Group],MATCH("~"&amp;Edges[[#This Row],[Vertex 2]],GroupVertices[Vertex],0)),1,1,"")</f>
        <v>3</v>
      </c>
    </row>
    <row r="411" spans="1:32" ht="15">
      <c r="A411" s="66" t="s">
        <v>583</v>
      </c>
      <c r="B411" s="66" t="s">
        <v>903</v>
      </c>
      <c r="C411" s="67"/>
      <c r="D411" s="68"/>
      <c r="E411" s="69"/>
      <c r="F411" s="70"/>
      <c r="G411" s="67"/>
      <c r="H411" s="71"/>
      <c r="I411" s="72"/>
      <c r="J411" s="72"/>
      <c r="K411" s="35"/>
      <c r="L411" s="80">
        <v>411</v>
      </c>
      <c r="M411" s="80"/>
      <c r="N411" s="74"/>
      <c r="O411" s="82" t="s">
        <v>909</v>
      </c>
      <c r="P411" s="82" t="s">
        <v>197</v>
      </c>
      <c r="Q411" s="85" t="s">
        <v>1317</v>
      </c>
      <c r="R411" s="82" t="s">
        <v>583</v>
      </c>
      <c r="S411" s="82" t="s">
        <v>2049</v>
      </c>
      <c r="T411" s="87" t="str">
        <f>HYPERLINK("http://www.youtube.com/channel/UCQn0-i5rI0fG52GV8zjoP7Q")</f>
        <v>http://www.youtube.com/channel/UCQn0-i5rI0fG52GV8zjoP7Q</v>
      </c>
      <c r="U411" s="82"/>
      <c r="V411" s="82" t="s">
        <v>2371</v>
      </c>
      <c r="W411" s="87" t="str">
        <f t="shared" si="15"/>
        <v>https://www.youtube.com/watch?v=FdMiVnA6Az0</v>
      </c>
      <c r="X411" s="82" t="s">
        <v>2384</v>
      </c>
      <c r="Y411" s="82">
        <v>0</v>
      </c>
      <c r="Z411" s="89">
        <v>45246.32247685185</v>
      </c>
      <c r="AA411" s="89">
        <v>45248.457962962966</v>
      </c>
      <c r="AB411" s="82"/>
      <c r="AC411" s="82"/>
      <c r="AD411" s="85" t="s">
        <v>2423</v>
      </c>
      <c r="AE411" s="84" t="str">
        <f>REPLACE(INDEX(GroupVertices[Group],MATCH("~"&amp;Edges[[#This Row],[Vertex 1]],GroupVertices[Vertex],0)),1,1,"")</f>
        <v>3</v>
      </c>
      <c r="AF411" s="84" t="str">
        <f>REPLACE(INDEX(GroupVertices[Group],MATCH("~"&amp;Edges[[#This Row],[Vertex 2]],GroupVertices[Vertex],0)),1,1,"")</f>
        <v>3</v>
      </c>
    </row>
    <row r="412" spans="1:32" ht="15">
      <c r="A412" s="66" t="s">
        <v>584</v>
      </c>
      <c r="B412" s="66" t="s">
        <v>903</v>
      </c>
      <c r="C412" s="67"/>
      <c r="D412" s="68"/>
      <c r="E412" s="69"/>
      <c r="F412" s="70"/>
      <c r="G412" s="67"/>
      <c r="H412" s="71"/>
      <c r="I412" s="72"/>
      <c r="J412" s="72"/>
      <c r="K412" s="35"/>
      <c r="L412" s="80">
        <v>412</v>
      </c>
      <c r="M412" s="80"/>
      <c r="N412" s="74"/>
      <c r="O412" s="82" t="s">
        <v>909</v>
      </c>
      <c r="P412" s="82" t="s">
        <v>197</v>
      </c>
      <c r="Q412" s="85" t="s">
        <v>1318</v>
      </c>
      <c r="R412" s="82" t="s">
        <v>584</v>
      </c>
      <c r="S412" s="82" t="s">
        <v>2050</v>
      </c>
      <c r="T412" s="87" t="str">
        <f>HYPERLINK("http://www.youtube.com/channel/UCSTt1V298C0zph61WG9wRgw")</f>
        <v>http://www.youtube.com/channel/UCSTt1V298C0zph61WG9wRgw</v>
      </c>
      <c r="U412" s="82"/>
      <c r="V412" s="82" t="s">
        <v>2371</v>
      </c>
      <c r="W412" s="87" t="str">
        <f t="shared" si="15"/>
        <v>https://www.youtube.com/watch?v=FdMiVnA6Az0</v>
      </c>
      <c r="X412" s="82" t="s">
        <v>2384</v>
      </c>
      <c r="Y412" s="82">
        <v>0</v>
      </c>
      <c r="Z412" s="89">
        <v>45246.49815972222</v>
      </c>
      <c r="AA412" s="89">
        <v>45246.49815972222</v>
      </c>
      <c r="AB412" s="82"/>
      <c r="AC412" s="82"/>
      <c r="AD412" s="85" t="s">
        <v>2423</v>
      </c>
      <c r="AE412" s="84" t="str">
        <f>REPLACE(INDEX(GroupVertices[Group],MATCH("~"&amp;Edges[[#This Row],[Vertex 1]],GroupVertices[Vertex],0)),1,1,"")</f>
        <v>3</v>
      </c>
      <c r="AF412" s="84" t="str">
        <f>REPLACE(INDEX(GroupVertices[Group],MATCH("~"&amp;Edges[[#This Row],[Vertex 2]],GroupVertices[Vertex],0)),1,1,"")</f>
        <v>3</v>
      </c>
    </row>
    <row r="413" spans="1:32" ht="15">
      <c r="A413" s="66" t="s">
        <v>585</v>
      </c>
      <c r="B413" s="66" t="s">
        <v>903</v>
      </c>
      <c r="C413" s="67"/>
      <c r="D413" s="68"/>
      <c r="E413" s="69"/>
      <c r="F413" s="70"/>
      <c r="G413" s="67"/>
      <c r="H413" s="71"/>
      <c r="I413" s="72"/>
      <c r="J413" s="72"/>
      <c r="K413" s="35"/>
      <c r="L413" s="80">
        <v>413</v>
      </c>
      <c r="M413" s="80"/>
      <c r="N413" s="74"/>
      <c r="O413" s="82" t="s">
        <v>909</v>
      </c>
      <c r="P413" s="82" t="s">
        <v>197</v>
      </c>
      <c r="Q413" s="85" t="s">
        <v>1319</v>
      </c>
      <c r="R413" s="82" t="s">
        <v>585</v>
      </c>
      <c r="S413" s="82" t="s">
        <v>2051</v>
      </c>
      <c r="T413" s="87" t="str">
        <f>HYPERLINK("http://www.youtube.com/channel/UCdCPKxljSl4PY2dZzExJG2g")</f>
        <v>http://www.youtube.com/channel/UCdCPKxljSl4PY2dZzExJG2g</v>
      </c>
      <c r="U413" s="82"/>
      <c r="V413" s="82" t="s">
        <v>2371</v>
      </c>
      <c r="W413" s="87" t="str">
        <f t="shared" si="15"/>
        <v>https://www.youtube.com/watch?v=FdMiVnA6Az0</v>
      </c>
      <c r="X413" s="82" t="s">
        <v>2384</v>
      </c>
      <c r="Y413" s="82">
        <v>0</v>
      </c>
      <c r="Z413" s="89">
        <v>45246.51788194444</v>
      </c>
      <c r="AA413" s="89">
        <v>45246.51788194444</v>
      </c>
      <c r="AB413" s="82"/>
      <c r="AC413" s="82"/>
      <c r="AD413" s="85" t="s">
        <v>2423</v>
      </c>
      <c r="AE413" s="84" t="str">
        <f>REPLACE(INDEX(GroupVertices[Group],MATCH("~"&amp;Edges[[#This Row],[Vertex 1]],GroupVertices[Vertex],0)),1,1,"")</f>
        <v>3</v>
      </c>
      <c r="AF413" s="84" t="str">
        <f>REPLACE(INDEX(GroupVertices[Group],MATCH("~"&amp;Edges[[#This Row],[Vertex 2]],GroupVertices[Vertex],0)),1,1,"")</f>
        <v>3</v>
      </c>
    </row>
    <row r="414" spans="1:32" ht="15">
      <c r="A414" s="66" t="s">
        <v>586</v>
      </c>
      <c r="B414" s="66" t="s">
        <v>903</v>
      </c>
      <c r="C414" s="67"/>
      <c r="D414" s="68"/>
      <c r="E414" s="69"/>
      <c r="F414" s="70"/>
      <c r="G414" s="67"/>
      <c r="H414" s="71"/>
      <c r="I414" s="72"/>
      <c r="J414" s="72"/>
      <c r="K414" s="35"/>
      <c r="L414" s="80">
        <v>414</v>
      </c>
      <c r="M414" s="80"/>
      <c r="N414" s="74"/>
      <c r="O414" s="82" t="s">
        <v>909</v>
      </c>
      <c r="P414" s="82" t="s">
        <v>197</v>
      </c>
      <c r="Q414" s="85" t="s">
        <v>1320</v>
      </c>
      <c r="R414" s="82" t="s">
        <v>586</v>
      </c>
      <c r="S414" s="82" t="s">
        <v>2052</v>
      </c>
      <c r="T414" s="87" t="str">
        <f>HYPERLINK("http://www.youtube.com/channel/UC5o9lvXX-zHILPakDPqQBvQ")</f>
        <v>http://www.youtube.com/channel/UC5o9lvXX-zHILPakDPqQBvQ</v>
      </c>
      <c r="U414" s="82"/>
      <c r="V414" s="82" t="s">
        <v>2371</v>
      </c>
      <c r="W414" s="87" t="str">
        <f t="shared" si="15"/>
        <v>https://www.youtube.com/watch?v=FdMiVnA6Az0</v>
      </c>
      <c r="X414" s="82" t="s">
        <v>2384</v>
      </c>
      <c r="Y414" s="82">
        <v>0</v>
      </c>
      <c r="Z414" s="89">
        <v>45246.63150462963</v>
      </c>
      <c r="AA414" s="89">
        <v>45246.63150462963</v>
      </c>
      <c r="AB414" s="82"/>
      <c r="AC414" s="82"/>
      <c r="AD414" s="85" t="s">
        <v>2423</v>
      </c>
      <c r="AE414" s="84" t="str">
        <f>REPLACE(INDEX(GroupVertices[Group],MATCH("~"&amp;Edges[[#This Row],[Vertex 1]],GroupVertices[Vertex],0)),1,1,"")</f>
        <v>3</v>
      </c>
      <c r="AF414" s="84" t="str">
        <f>REPLACE(INDEX(GroupVertices[Group],MATCH("~"&amp;Edges[[#This Row],[Vertex 2]],GroupVertices[Vertex],0)),1,1,"")</f>
        <v>3</v>
      </c>
    </row>
    <row r="415" spans="1:32" ht="15">
      <c r="A415" s="66" t="s">
        <v>587</v>
      </c>
      <c r="B415" s="66" t="s">
        <v>903</v>
      </c>
      <c r="C415" s="67"/>
      <c r="D415" s="68"/>
      <c r="E415" s="69"/>
      <c r="F415" s="70"/>
      <c r="G415" s="67"/>
      <c r="H415" s="71"/>
      <c r="I415" s="72"/>
      <c r="J415" s="72"/>
      <c r="K415" s="35"/>
      <c r="L415" s="80">
        <v>415</v>
      </c>
      <c r="M415" s="80"/>
      <c r="N415" s="74"/>
      <c r="O415" s="82" t="s">
        <v>909</v>
      </c>
      <c r="P415" s="82" t="s">
        <v>197</v>
      </c>
      <c r="Q415" s="85" t="s">
        <v>1321</v>
      </c>
      <c r="R415" s="82" t="s">
        <v>587</v>
      </c>
      <c r="S415" s="82" t="s">
        <v>2053</v>
      </c>
      <c r="T415" s="87" t="str">
        <f>HYPERLINK("http://www.youtube.com/channel/UCjPcnXVxSkCrvLB7_aPkRJA")</f>
        <v>http://www.youtube.com/channel/UCjPcnXVxSkCrvLB7_aPkRJA</v>
      </c>
      <c r="U415" s="82"/>
      <c r="V415" s="82" t="s">
        <v>2371</v>
      </c>
      <c r="W415" s="87" t="str">
        <f t="shared" si="15"/>
        <v>https://www.youtube.com/watch?v=FdMiVnA6Az0</v>
      </c>
      <c r="X415" s="82" t="s">
        <v>2384</v>
      </c>
      <c r="Y415" s="82">
        <v>0</v>
      </c>
      <c r="Z415" s="89">
        <v>45247.30133101852</v>
      </c>
      <c r="AA415" s="89">
        <v>45247.30831018519</v>
      </c>
      <c r="AB415" s="82"/>
      <c r="AC415" s="82"/>
      <c r="AD415" s="85" t="s">
        <v>2423</v>
      </c>
      <c r="AE415" s="84" t="str">
        <f>REPLACE(INDEX(GroupVertices[Group],MATCH("~"&amp;Edges[[#This Row],[Vertex 1]],GroupVertices[Vertex],0)),1,1,"")</f>
        <v>3</v>
      </c>
      <c r="AF415" s="84" t="str">
        <f>REPLACE(INDEX(GroupVertices[Group],MATCH("~"&amp;Edges[[#This Row],[Vertex 2]],GroupVertices[Vertex],0)),1,1,"")</f>
        <v>3</v>
      </c>
    </row>
    <row r="416" spans="1:32" ht="15">
      <c r="A416" s="66" t="s">
        <v>588</v>
      </c>
      <c r="B416" s="66" t="s">
        <v>903</v>
      </c>
      <c r="C416" s="67"/>
      <c r="D416" s="68"/>
      <c r="E416" s="69"/>
      <c r="F416" s="70"/>
      <c r="G416" s="67"/>
      <c r="H416" s="71"/>
      <c r="I416" s="72"/>
      <c r="J416" s="72"/>
      <c r="K416" s="35"/>
      <c r="L416" s="80">
        <v>416</v>
      </c>
      <c r="M416" s="80"/>
      <c r="N416" s="74"/>
      <c r="O416" s="82" t="s">
        <v>909</v>
      </c>
      <c r="P416" s="82" t="s">
        <v>197</v>
      </c>
      <c r="Q416" s="85" t="s">
        <v>1322</v>
      </c>
      <c r="R416" s="82" t="s">
        <v>588</v>
      </c>
      <c r="S416" s="82" t="s">
        <v>2054</v>
      </c>
      <c r="T416" s="87" t="str">
        <f>HYPERLINK("http://www.youtube.com/channel/UCiFRDvbZbPwWQPwirqqDWOg")</f>
        <v>http://www.youtube.com/channel/UCiFRDvbZbPwWQPwirqqDWOg</v>
      </c>
      <c r="U416" s="82"/>
      <c r="V416" s="82" t="s">
        <v>2371</v>
      </c>
      <c r="W416" s="87" t="str">
        <f t="shared" si="15"/>
        <v>https://www.youtube.com/watch?v=FdMiVnA6Az0</v>
      </c>
      <c r="X416" s="82" t="s">
        <v>2384</v>
      </c>
      <c r="Y416" s="82">
        <v>0</v>
      </c>
      <c r="Z416" s="89">
        <v>45247.34238425926</v>
      </c>
      <c r="AA416" s="89">
        <v>45247.34238425926</v>
      </c>
      <c r="AB416" s="82"/>
      <c r="AC416" s="82"/>
      <c r="AD416" s="85" t="s">
        <v>2423</v>
      </c>
      <c r="AE416" s="84" t="str">
        <f>REPLACE(INDEX(GroupVertices[Group],MATCH("~"&amp;Edges[[#This Row],[Vertex 1]],GroupVertices[Vertex],0)),1,1,"")</f>
        <v>3</v>
      </c>
      <c r="AF416" s="84" t="str">
        <f>REPLACE(INDEX(GroupVertices[Group],MATCH("~"&amp;Edges[[#This Row],[Vertex 2]],GroupVertices[Vertex],0)),1,1,"")</f>
        <v>3</v>
      </c>
    </row>
    <row r="417" spans="1:32" ht="15">
      <c r="A417" s="66" t="s">
        <v>589</v>
      </c>
      <c r="B417" s="66" t="s">
        <v>903</v>
      </c>
      <c r="C417" s="67"/>
      <c r="D417" s="68"/>
      <c r="E417" s="69"/>
      <c r="F417" s="70"/>
      <c r="G417" s="67"/>
      <c r="H417" s="71"/>
      <c r="I417" s="72"/>
      <c r="J417" s="72"/>
      <c r="K417" s="35"/>
      <c r="L417" s="80">
        <v>417</v>
      </c>
      <c r="M417" s="80"/>
      <c r="N417" s="74"/>
      <c r="O417" s="82" t="s">
        <v>909</v>
      </c>
      <c r="P417" s="82" t="s">
        <v>197</v>
      </c>
      <c r="Q417" s="85" t="s">
        <v>1323</v>
      </c>
      <c r="R417" s="82" t="s">
        <v>589</v>
      </c>
      <c r="S417" s="82" t="s">
        <v>2055</v>
      </c>
      <c r="T417" s="87" t="str">
        <f>HYPERLINK("http://www.youtube.com/channel/UCHYzDS1qVbUEQEThdXAeitQ")</f>
        <v>http://www.youtube.com/channel/UCHYzDS1qVbUEQEThdXAeitQ</v>
      </c>
      <c r="U417" s="82"/>
      <c r="V417" s="82" t="s">
        <v>2371</v>
      </c>
      <c r="W417" s="87" t="str">
        <f t="shared" si="15"/>
        <v>https://www.youtube.com/watch?v=FdMiVnA6Az0</v>
      </c>
      <c r="X417" s="82" t="s">
        <v>2384</v>
      </c>
      <c r="Y417" s="82">
        <v>3</v>
      </c>
      <c r="Z417" s="89">
        <v>45247.897777777776</v>
      </c>
      <c r="AA417" s="89">
        <v>45247.897777777776</v>
      </c>
      <c r="AB417" s="82"/>
      <c r="AC417" s="82"/>
      <c r="AD417" s="85" t="s">
        <v>2423</v>
      </c>
      <c r="AE417" s="84" t="str">
        <f>REPLACE(INDEX(GroupVertices[Group],MATCH("~"&amp;Edges[[#This Row],[Vertex 1]],GroupVertices[Vertex],0)),1,1,"")</f>
        <v>3</v>
      </c>
      <c r="AF417" s="84" t="str">
        <f>REPLACE(INDEX(GroupVertices[Group],MATCH("~"&amp;Edges[[#This Row],[Vertex 2]],GroupVertices[Vertex],0)),1,1,"")</f>
        <v>3</v>
      </c>
    </row>
    <row r="418" spans="1:32" ht="15">
      <c r="A418" s="66" t="s">
        <v>590</v>
      </c>
      <c r="B418" s="66" t="s">
        <v>903</v>
      </c>
      <c r="C418" s="67"/>
      <c r="D418" s="68"/>
      <c r="E418" s="69"/>
      <c r="F418" s="70"/>
      <c r="G418" s="67"/>
      <c r="H418" s="71"/>
      <c r="I418" s="72"/>
      <c r="J418" s="72"/>
      <c r="K418" s="35"/>
      <c r="L418" s="80">
        <v>418</v>
      </c>
      <c r="M418" s="80"/>
      <c r="N418" s="74"/>
      <c r="O418" s="82" t="s">
        <v>909</v>
      </c>
      <c r="P418" s="82" t="s">
        <v>197</v>
      </c>
      <c r="Q418" s="85" t="s">
        <v>1324</v>
      </c>
      <c r="R418" s="82" t="s">
        <v>590</v>
      </c>
      <c r="S418" s="82" t="s">
        <v>2056</v>
      </c>
      <c r="T418" s="87" t="str">
        <f>HYPERLINK("http://www.youtube.com/channel/UCPKyiavT3ALMFLhph_0KVUA")</f>
        <v>http://www.youtube.com/channel/UCPKyiavT3ALMFLhph_0KVUA</v>
      </c>
      <c r="U418" s="82"/>
      <c r="V418" s="82" t="s">
        <v>2371</v>
      </c>
      <c r="W418" s="87" t="str">
        <f aca="true" t="shared" si="16" ref="W418:W434">HYPERLINK("https://www.youtube.com/watch?v=FdMiVnA6Az0")</f>
        <v>https://www.youtube.com/watch?v=FdMiVnA6Az0</v>
      </c>
      <c r="X418" s="82" t="s">
        <v>2384</v>
      </c>
      <c r="Y418" s="82">
        <v>0</v>
      </c>
      <c r="Z418" s="89">
        <v>45248.13024305556</v>
      </c>
      <c r="AA418" s="89">
        <v>45248.13024305556</v>
      </c>
      <c r="AB418" s="82"/>
      <c r="AC418" s="82"/>
      <c r="AD418" s="85" t="s">
        <v>2423</v>
      </c>
      <c r="AE418" s="84" t="str">
        <f>REPLACE(INDEX(GroupVertices[Group],MATCH("~"&amp;Edges[[#This Row],[Vertex 1]],GroupVertices[Vertex],0)),1,1,"")</f>
        <v>3</v>
      </c>
      <c r="AF418" s="84" t="str">
        <f>REPLACE(INDEX(GroupVertices[Group],MATCH("~"&amp;Edges[[#This Row],[Vertex 2]],GroupVertices[Vertex],0)),1,1,"")</f>
        <v>3</v>
      </c>
    </row>
    <row r="419" spans="1:32" ht="15">
      <c r="A419" s="66" t="s">
        <v>591</v>
      </c>
      <c r="B419" s="66" t="s">
        <v>903</v>
      </c>
      <c r="C419" s="67"/>
      <c r="D419" s="68"/>
      <c r="E419" s="69"/>
      <c r="F419" s="70"/>
      <c r="G419" s="67"/>
      <c r="H419" s="71"/>
      <c r="I419" s="72"/>
      <c r="J419" s="72"/>
      <c r="K419" s="35"/>
      <c r="L419" s="80">
        <v>419</v>
      </c>
      <c r="M419" s="80"/>
      <c r="N419" s="74"/>
      <c r="O419" s="82" t="s">
        <v>909</v>
      </c>
      <c r="P419" s="82" t="s">
        <v>197</v>
      </c>
      <c r="Q419" s="85" t="s">
        <v>1325</v>
      </c>
      <c r="R419" s="82" t="s">
        <v>591</v>
      </c>
      <c r="S419" s="82" t="s">
        <v>2057</v>
      </c>
      <c r="T419" s="87" t="str">
        <f>HYPERLINK("http://www.youtube.com/channel/UC3B1hVDU9rwY1X_NPRXPmXA")</f>
        <v>http://www.youtube.com/channel/UC3B1hVDU9rwY1X_NPRXPmXA</v>
      </c>
      <c r="U419" s="82"/>
      <c r="V419" s="82" t="s">
        <v>2371</v>
      </c>
      <c r="W419" s="87" t="str">
        <f t="shared" si="16"/>
        <v>https://www.youtube.com/watch?v=FdMiVnA6Az0</v>
      </c>
      <c r="X419" s="82" t="s">
        <v>2384</v>
      </c>
      <c r="Y419" s="82">
        <v>0</v>
      </c>
      <c r="Z419" s="89">
        <v>45249.40184027778</v>
      </c>
      <c r="AA419" s="89">
        <v>45249.40184027778</v>
      </c>
      <c r="AB419" s="82"/>
      <c r="AC419" s="82"/>
      <c r="AD419" s="85" t="s">
        <v>2423</v>
      </c>
      <c r="AE419" s="84" t="str">
        <f>REPLACE(INDEX(GroupVertices[Group],MATCH("~"&amp;Edges[[#This Row],[Vertex 1]],GroupVertices[Vertex],0)),1,1,"")</f>
        <v>3</v>
      </c>
      <c r="AF419" s="84" t="str">
        <f>REPLACE(INDEX(GroupVertices[Group],MATCH("~"&amp;Edges[[#This Row],[Vertex 2]],GroupVertices[Vertex],0)),1,1,"")</f>
        <v>3</v>
      </c>
    </row>
    <row r="420" spans="1:32" ht="15">
      <c r="A420" s="66" t="s">
        <v>592</v>
      </c>
      <c r="B420" s="66" t="s">
        <v>903</v>
      </c>
      <c r="C420" s="67"/>
      <c r="D420" s="68"/>
      <c r="E420" s="69"/>
      <c r="F420" s="70"/>
      <c r="G420" s="67"/>
      <c r="H420" s="71"/>
      <c r="I420" s="72"/>
      <c r="J420" s="72"/>
      <c r="K420" s="35"/>
      <c r="L420" s="80">
        <v>420</v>
      </c>
      <c r="M420" s="80"/>
      <c r="N420" s="74"/>
      <c r="O420" s="82" t="s">
        <v>909</v>
      </c>
      <c r="P420" s="82" t="s">
        <v>197</v>
      </c>
      <c r="Q420" s="85" t="s">
        <v>1326</v>
      </c>
      <c r="R420" s="82" t="s">
        <v>592</v>
      </c>
      <c r="S420" s="82" t="s">
        <v>2058</v>
      </c>
      <c r="T420" s="87" t="str">
        <f>HYPERLINK("http://www.youtube.com/channel/UC2bCxJ_Q3skQqjDUrnTEi3Q")</f>
        <v>http://www.youtube.com/channel/UC2bCxJ_Q3skQqjDUrnTEi3Q</v>
      </c>
      <c r="U420" s="82"/>
      <c r="V420" s="82" t="s">
        <v>2371</v>
      </c>
      <c r="W420" s="87" t="str">
        <f t="shared" si="16"/>
        <v>https://www.youtube.com/watch?v=FdMiVnA6Az0</v>
      </c>
      <c r="X420" s="82" t="s">
        <v>2384</v>
      </c>
      <c r="Y420" s="82">
        <v>0</v>
      </c>
      <c r="Z420" s="89">
        <v>45249.84232638889</v>
      </c>
      <c r="AA420" s="89">
        <v>45249.84232638889</v>
      </c>
      <c r="AB420" s="82" t="s">
        <v>2404</v>
      </c>
      <c r="AC420" s="82" t="s">
        <v>2420</v>
      </c>
      <c r="AD420" s="85" t="s">
        <v>2423</v>
      </c>
      <c r="AE420" s="84" t="str">
        <f>REPLACE(INDEX(GroupVertices[Group],MATCH("~"&amp;Edges[[#This Row],[Vertex 1]],GroupVertices[Vertex],0)),1,1,"")</f>
        <v>3</v>
      </c>
      <c r="AF420" s="84" t="str">
        <f>REPLACE(INDEX(GroupVertices[Group],MATCH("~"&amp;Edges[[#This Row],[Vertex 2]],GroupVertices[Vertex],0)),1,1,"")</f>
        <v>3</v>
      </c>
    </row>
    <row r="421" spans="1:32" ht="15">
      <c r="A421" s="66" t="s">
        <v>592</v>
      </c>
      <c r="B421" s="66" t="s">
        <v>903</v>
      </c>
      <c r="C421" s="67"/>
      <c r="D421" s="68"/>
      <c r="E421" s="69"/>
      <c r="F421" s="70"/>
      <c r="G421" s="67"/>
      <c r="H421" s="71"/>
      <c r="I421" s="72"/>
      <c r="J421" s="72"/>
      <c r="K421" s="35"/>
      <c r="L421" s="80">
        <v>421</v>
      </c>
      <c r="M421" s="80"/>
      <c r="N421" s="74"/>
      <c r="O421" s="82" t="s">
        <v>909</v>
      </c>
      <c r="P421" s="82" t="s">
        <v>197</v>
      </c>
      <c r="Q421" s="85" t="s">
        <v>1327</v>
      </c>
      <c r="R421" s="82" t="s">
        <v>592</v>
      </c>
      <c r="S421" s="82" t="s">
        <v>2058</v>
      </c>
      <c r="T421" s="87" t="str">
        <f>HYPERLINK("http://www.youtube.com/channel/UC2bCxJ_Q3skQqjDUrnTEi3Q")</f>
        <v>http://www.youtube.com/channel/UC2bCxJ_Q3skQqjDUrnTEi3Q</v>
      </c>
      <c r="U421" s="82"/>
      <c r="V421" s="82" t="s">
        <v>2371</v>
      </c>
      <c r="W421" s="87" t="str">
        <f t="shared" si="16"/>
        <v>https://www.youtube.com/watch?v=FdMiVnA6Az0</v>
      </c>
      <c r="X421" s="82" t="s">
        <v>2384</v>
      </c>
      <c r="Y421" s="82">
        <v>0</v>
      </c>
      <c r="Z421" s="89">
        <v>45249.84315972222</v>
      </c>
      <c r="AA421" s="89">
        <v>45249.84315972222</v>
      </c>
      <c r="AB421" s="82"/>
      <c r="AC421" s="82"/>
      <c r="AD421" s="85" t="s">
        <v>2423</v>
      </c>
      <c r="AE421" s="84" t="str">
        <f>REPLACE(INDEX(GroupVertices[Group],MATCH("~"&amp;Edges[[#This Row],[Vertex 1]],GroupVertices[Vertex],0)),1,1,"")</f>
        <v>3</v>
      </c>
      <c r="AF421" s="84" t="str">
        <f>REPLACE(INDEX(GroupVertices[Group],MATCH("~"&amp;Edges[[#This Row],[Vertex 2]],GroupVertices[Vertex],0)),1,1,"")</f>
        <v>3</v>
      </c>
    </row>
    <row r="422" spans="1:32" ht="15">
      <c r="A422" s="66" t="s">
        <v>593</v>
      </c>
      <c r="B422" s="66" t="s">
        <v>903</v>
      </c>
      <c r="C422" s="67"/>
      <c r="D422" s="68"/>
      <c r="E422" s="69"/>
      <c r="F422" s="70"/>
      <c r="G422" s="67"/>
      <c r="H422" s="71"/>
      <c r="I422" s="72"/>
      <c r="J422" s="72"/>
      <c r="K422" s="35"/>
      <c r="L422" s="80">
        <v>422</v>
      </c>
      <c r="M422" s="80"/>
      <c r="N422" s="74"/>
      <c r="O422" s="82" t="s">
        <v>909</v>
      </c>
      <c r="P422" s="82" t="s">
        <v>197</v>
      </c>
      <c r="Q422" s="85" t="s">
        <v>1328</v>
      </c>
      <c r="R422" s="82" t="s">
        <v>593</v>
      </c>
      <c r="S422" s="82" t="s">
        <v>2059</v>
      </c>
      <c r="T422" s="87" t="str">
        <f>HYPERLINK("http://www.youtube.com/channel/UCOeeO42-Y0XU9W7JS73834A")</f>
        <v>http://www.youtube.com/channel/UCOeeO42-Y0XU9W7JS73834A</v>
      </c>
      <c r="U422" s="82"/>
      <c r="V422" s="82" t="s">
        <v>2371</v>
      </c>
      <c r="W422" s="87" t="str">
        <f t="shared" si="16"/>
        <v>https://www.youtube.com/watch?v=FdMiVnA6Az0</v>
      </c>
      <c r="X422" s="82" t="s">
        <v>2384</v>
      </c>
      <c r="Y422" s="82">
        <v>0</v>
      </c>
      <c r="Z422" s="89">
        <v>45250.98085648148</v>
      </c>
      <c r="AA422" s="89">
        <v>45250.98085648148</v>
      </c>
      <c r="AB422" s="82"/>
      <c r="AC422" s="82"/>
      <c r="AD422" s="85" t="s">
        <v>2423</v>
      </c>
      <c r="AE422" s="84" t="str">
        <f>REPLACE(INDEX(GroupVertices[Group],MATCH("~"&amp;Edges[[#This Row],[Vertex 1]],GroupVertices[Vertex],0)),1,1,"")</f>
        <v>3</v>
      </c>
      <c r="AF422" s="84" t="str">
        <f>REPLACE(INDEX(GroupVertices[Group],MATCH("~"&amp;Edges[[#This Row],[Vertex 2]],GroupVertices[Vertex],0)),1,1,"")</f>
        <v>3</v>
      </c>
    </row>
    <row r="423" spans="1:32" ht="15">
      <c r="A423" s="66" t="s">
        <v>594</v>
      </c>
      <c r="B423" s="66" t="s">
        <v>903</v>
      </c>
      <c r="C423" s="67"/>
      <c r="D423" s="68"/>
      <c r="E423" s="69"/>
      <c r="F423" s="70"/>
      <c r="G423" s="67"/>
      <c r="H423" s="71"/>
      <c r="I423" s="72"/>
      <c r="J423" s="72"/>
      <c r="K423" s="35"/>
      <c r="L423" s="80">
        <v>423</v>
      </c>
      <c r="M423" s="80"/>
      <c r="N423" s="74"/>
      <c r="O423" s="82" t="s">
        <v>909</v>
      </c>
      <c r="P423" s="82" t="s">
        <v>197</v>
      </c>
      <c r="Q423" s="85" t="s">
        <v>1329</v>
      </c>
      <c r="R423" s="82" t="s">
        <v>594</v>
      </c>
      <c r="S423" s="82" t="s">
        <v>2060</v>
      </c>
      <c r="T423" s="87" t="str">
        <f>HYPERLINK("http://www.youtube.com/channel/UC2yDolvO9RcH4sBwTgYo03Q")</f>
        <v>http://www.youtube.com/channel/UC2yDolvO9RcH4sBwTgYo03Q</v>
      </c>
      <c r="U423" s="82"/>
      <c r="V423" s="82" t="s">
        <v>2371</v>
      </c>
      <c r="W423" s="87" t="str">
        <f t="shared" si="16"/>
        <v>https://www.youtube.com/watch?v=FdMiVnA6Az0</v>
      </c>
      <c r="X423" s="82" t="s">
        <v>2384</v>
      </c>
      <c r="Y423" s="82">
        <v>0</v>
      </c>
      <c r="Z423" s="89">
        <v>45251.285219907404</v>
      </c>
      <c r="AA423" s="89">
        <v>45251.285219907404</v>
      </c>
      <c r="AB423" s="82"/>
      <c r="AC423" s="82"/>
      <c r="AD423" s="85" t="s">
        <v>2423</v>
      </c>
      <c r="AE423" s="84" t="str">
        <f>REPLACE(INDEX(GroupVertices[Group],MATCH("~"&amp;Edges[[#This Row],[Vertex 1]],GroupVertices[Vertex],0)),1,1,"")</f>
        <v>3</v>
      </c>
      <c r="AF423" s="84" t="str">
        <f>REPLACE(INDEX(GroupVertices[Group],MATCH("~"&amp;Edges[[#This Row],[Vertex 2]],GroupVertices[Vertex],0)),1,1,"")</f>
        <v>3</v>
      </c>
    </row>
    <row r="424" spans="1:32" ht="15">
      <c r="A424" s="66" t="s">
        <v>594</v>
      </c>
      <c r="B424" s="66" t="s">
        <v>903</v>
      </c>
      <c r="C424" s="67"/>
      <c r="D424" s="68"/>
      <c r="E424" s="69"/>
      <c r="F424" s="70"/>
      <c r="G424" s="67"/>
      <c r="H424" s="71"/>
      <c r="I424" s="72"/>
      <c r="J424" s="72"/>
      <c r="K424" s="35"/>
      <c r="L424" s="80">
        <v>424</v>
      </c>
      <c r="M424" s="80"/>
      <c r="N424" s="74"/>
      <c r="O424" s="82" t="s">
        <v>909</v>
      </c>
      <c r="P424" s="82" t="s">
        <v>197</v>
      </c>
      <c r="Q424" s="85" t="s">
        <v>1330</v>
      </c>
      <c r="R424" s="82" t="s">
        <v>594</v>
      </c>
      <c r="S424" s="82" t="s">
        <v>2060</v>
      </c>
      <c r="T424" s="87" t="str">
        <f>HYPERLINK("http://www.youtube.com/channel/UC2yDolvO9RcH4sBwTgYo03Q")</f>
        <v>http://www.youtube.com/channel/UC2yDolvO9RcH4sBwTgYo03Q</v>
      </c>
      <c r="U424" s="82"/>
      <c r="V424" s="82" t="s">
        <v>2371</v>
      </c>
      <c r="W424" s="87" t="str">
        <f t="shared" si="16"/>
        <v>https://www.youtube.com/watch?v=FdMiVnA6Az0</v>
      </c>
      <c r="X424" s="82" t="s">
        <v>2384</v>
      </c>
      <c r="Y424" s="82">
        <v>0</v>
      </c>
      <c r="Z424" s="89">
        <v>45251.28936342592</v>
      </c>
      <c r="AA424" s="89">
        <v>45251.28936342592</v>
      </c>
      <c r="AB424" s="82"/>
      <c r="AC424" s="82"/>
      <c r="AD424" s="85" t="s">
        <v>2423</v>
      </c>
      <c r="AE424" s="84" t="str">
        <f>REPLACE(INDEX(GroupVertices[Group],MATCH("~"&amp;Edges[[#This Row],[Vertex 1]],GroupVertices[Vertex],0)),1,1,"")</f>
        <v>3</v>
      </c>
      <c r="AF424" s="84" t="str">
        <f>REPLACE(INDEX(GroupVertices[Group],MATCH("~"&amp;Edges[[#This Row],[Vertex 2]],GroupVertices[Vertex],0)),1,1,"")</f>
        <v>3</v>
      </c>
    </row>
    <row r="425" spans="1:32" ht="15">
      <c r="A425" s="66" t="s">
        <v>595</v>
      </c>
      <c r="B425" s="66" t="s">
        <v>903</v>
      </c>
      <c r="C425" s="67"/>
      <c r="D425" s="68"/>
      <c r="E425" s="69"/>
      <c r="F425" s="70"/>
      <c r="G425" s="67"/>
      <c r="H425" s="71"/>
      <c r="I425" s="72"/>
      <c r="J425" s="72"/>
      <c r="K425" s="35"/>
      <c r="L425" s="80">
        <v>425</v>
      </c>
      <c r="M425" s="80"/>
      <c r="N425" s="74"/>
      <c r="O425" s="82" t="s">
        <v>909</v>
      </c>
      <c r="P425" s="82" t="s">
        <v>197</v>
      </c>
      <c r="Q425" s="85" t="s">
        <v>1331</v>
      </c>
      <c r="R425" s="82" t="s">
        <v>595</v>
      </c>
      <c r="S425" s="82" t="s">
        <v>2061</v>
      </c>
      <c r="T425" s="87" t="str">
        <f>HYPERLINK("http://www.youtube.com/channel/UC3t0vabNz4_sZaZBtv2lntQ")</f>
        <v>http://www.youtube.com/channel/UC3t0vabNz4_sZaZBtv2lntQ</v>
      </c>
      <c r="U425" s="82"/>
      <c r="V425" s="82" t="s">
        <v>2371</v>
      </c>
      <c r="W425" s="87" t="str">
        <f t="shared" si="16"/>
        <v>https://www.youtube.com/watch?v=FdMiVnA6Az0</v>
      </c>
      <c r="X425" s="82" t="s">
        <v>2384</v>
      </c>
      <c r="Y425" s="82">
        <v>0</v>
      </c>
      <c r="Z425" s="89">
        <v>45252.25763888889</v>
      </c>
      <c r="AA425" s="89">
        <v>45252.25763888889</v>
      </c>
      <c r="AB425" s="82"/>
      <c r="AC425" s="82"/>
      <c r="AD425" s="85" t="s">
        <v>2423</v>
      </c>
      <c r="AE425" s="84" t="str">
        <f>REPLACE(INDEX(GroupVertices[Group],MATCH("~"&amp;Edges[[#This Row],[Vertex 1]],GroupVertices[Vertex],0)),1,1,"")</f>
        <v>3</v>
      </c>
      <c r="AF425" s="84" t="str">
        <f>REPLACE(INDEX(GroupVertices[Group],MATCH("~"&amp;Edges[[#This Row],[Vertex 2]],GroupVertices[Vertex],0)),1,1,"")</f>
        <v>3</v>
      </c>
    </row>
    <row r="426" spans="1:32" ht="15">
      <c r="A426" s="66" t="s">
        <v>596</v>
      </c>
      <c r="B426" s="66" t="s">
        <v>903</v>
      </c>
      <c r="C426" s="67"/>
      <c r="D426" s="68"/>
      <c r="E426" s="69"/>
      <c r="F426" s="70"/>
      <c r="G426" s="67"/>
      <c r="H426" s="71"/>
      <c r="I426" s="72"/>
      <c r="J426" s="72"/>
      <c r="K426" s="35"/>
      <c r="L426" s="80">
        <v>426</v>
      </c>
      <c r="M426" s="80"/>
      <c r="N426" s="74"/>
      <c r="O426" s="82" t="s">
        <v>909</v>
      </c>
      <c r="P426" s="82" t="s">
        <v>197</v>
      </c>
      <c r="Q426" s="85" t="s">
        <v>1332</v>
      </c>
      <c r="R426" s="82" t="s">
        <v>596</v>
      </c>
      <c r="S426" s="82" t="s">
        <v>2062</v>
      </c>
      <c r="T426" s="87" t="str">
        <f>HYPERLINK("http://www.youtube.com/channel/UCTE1IMyCwR3Ne0Y2FsGq_Ng")</f>
        <v>http://www.youtube.com/channel/UCTE1IMyCwR3Ne0Y2FsGq_Ng</v>
      </c>
      <c r="U426" s="82"/>
      <c r="V426" s="82" t="s">
        <v>2371</v>
      </c>
      <c r="W426" s="87" t="str">
        <f t="shared" si="16"/>
        <v>https://www.youtube.com/watch?v=FdMiVnA6Az0</v>
      </c>
      <c r="X426" s="82" t="s">
        <v>2384</v>
      </c>
      <c r="Y426" s="82">
        <v>0</v>
      </c>
      <c r="Z426" s="89">
        <v>45252.605104166665</v>
      </c>
      <c r="AA426" s="89">
        <v>45252.610300925924</v>
      </c>
      <c r="AB426" s="82"/>
      <c r="AC426" s="82"/>
      <c r="AD426" s="85" t="s">
        <v>2423</v>
      </c>
      <c r="AE426" s="84" t="str">
        <f>REPLACE(INDEX(GroupVertices[Group],MATCH("~"&amp;Edges[[#This Row],[Vertex 1]],GroupVertices[Vertex],0)),1,1,"")</f>
        <v>3</v>
      </c>
      <c r="AF426" s="84" t="str">
        <f>REPLACE(INDEX(GroupVertices[Group],MATCH("~"&amp;Edges[[#This Row],[Vertex 2]],GroupVertices[Vertex],0)),1,1,"")</f>
        <v>3</v>
      </c>
    </row>
    <row r="427" spans="1:32" ht="15">
      <c r="A427" s="66" t="s">
        <v>597</v>
      </c>
      <c r="B427" s="66" t="s">
        <v>903</v>
      </c>
      <c r="C427" s="67"/>
      <c r="D427" s="68"/>
      <c r="E427" s="69"/>
      <c r="F427" s="70"/>
      <c r="G427" s="67"/>
      <c r="H427" s="71"/>
      <c r="I427" s="72"/>
      <c r="J427" s="72"/>
      <c r="K427" s="35"/>
      <c r="L427" s="80">
        <v>427</v>
      </c>
      <c r="M427" s="80"/>
      <c r="N427" s="74"/>
      <c r="O427" s="82" t="s">
        <v>909</v>
      </c>
      <c r="P427" s="82" t="s">
        <v>197</v>
      </c>
      <c r="Q427" s="85" t="s">
        <v>1333</v>
      </c>
      <c r="R427" s="82" t="s">
        <v>597</v>
      </c>
      <c r="S427" s="82" t="s">
        <v>2063</v>
      </c>
      <c r="T427" s="87" t="str">
        <f>HYPERLINK("http://www.youtube.com/channel/UCdRj1sv7oI9YzZ6MhtXVGmw")</f>
        <v>http://www.youtube.com/channel/UCdRj1sv7oI9YzZ6MhtXVGmw</v>
      </c>
      <c r="U427" s="82"/>
      <c r="V427" s="82" t="s">
        <v>2371</v>
      </c>
      <c r="W427" s="87" t="str">
        <f t="shared" si="16"/>
        <v>https://www.youtube.com/watch?v=FdMiVnA6Az0</v>
      </c>
      <c r="X427" s="82" t="s">
        <v>2384</v>
      </c>
      <c r="Y427" s="82">
        <v>0</v>
      </c>
      <c r="Z427" s="89">
        <v>45253.04854166666</v>
      </c>
      <c r="AA427" s="89">
        <v>45253.04854166666</v>
      </c>
      <c r="AB427" s="82"/>
      <c r="AC427" s="82"/>
      <c r="AD427" s="85" t="s">
        <v>2423</v>
      </c>
      <c r="AE427" s="84" t="str">
        <f>REPLACE(INDEX(GroupVertices[Group],MATCH("~"&amp;Edges[[#This Row],[Vertex 1]],GroupVertices[Vertex],0)),1,1,"")</f>
        <v>3</v>
      </c>
      <c r="AF427" s="84" t="str">
        <f>REPLACE(INDEX(GroupVertices[Group],MATCH("~"&amp;Edges[[#This Row],[Vertex 2]],GroupVertices[Vertex],0)),1,1,"")</f>
        <v>3</v>
      </c>
    </row>
    <row r="428" spans="1:32" ht="15">
      <c r="A428" s="66" t="s">
        <v>598</v>
      </c>
      <c r="B428" s="66" t="s">
        <v>903</v>
      </c>
      <c r="C428" s="67"/>
      <c r="D428" s="68"/>
      <c r="E428" s="69"/>
      <c r="F428" s="70"/>
      <c r="G428" s="67"/>
      <c r="H428" s="71"/>
      <c r="I428" s="72"/>
      <c r="J428" s="72"/>
      <c r="K428" s="35"/>
      <c r="L428" s="80">
        <v>428</v>
      </c>
      <c r="M428" s="80"/>
      <c r="N428" s="74"/>
      <c r="O428" s="82" t="s">
        <v>909</v>
      </c>
      <c r="P428" s="82" t="s">
        <v>197</v>
      </c>
      <c r="Q428" s="85" t="s">
        <v>1334</v>
      </c>
      <c r="R428" s="82" t="s">
        <v>598</v>
      </c>
      <c r="S428" s="82" t="s">
        <v>2064</v>
      </c>
      <c r="T428" s="87" t="str">
        <f>HYPERLINK("http://www.youtube.com/channel/UCg5slShaD8AOyf3Fjkx4S6g")</f>
        <v>http://www.youtube.com/channel/UCg5slShaD8AOyf3Fjkx4S6g</v>
      </c>
      <c r="U428" s="82"/>
      <c r="V428" s="82" t="s">
        <v>2371</v>
      </c>
      <c r="W428" s="87" t="str">
        <f t="shared" si="16"/>
        <v>https://www.youtube.com/watch?v=FdMiVnA6Az0</v>
      </c>
      <c r="X428" s="82" t="s">
        <v>2384</v>
      </c>
      <c r="Y428" s="82">
        <v>0</v>
      </c>
      <c r="Z428" s="89">
        <v>45253.32256944444</v>
      </c>
      <c r="AA428" s="89">
        <v>45253.32256944444</v>
      </c>
      <c r="AB428" s="82"/>
      <c r="AC428" s="82"/>
      <c r="AD428" s="85" t="s">
        <v>2423</v>
      </c>
      <c r="AE428" s="84" t="str">
        <f>REPLACE(INDEX(GroupVertices[Group],MATCH("~"&amp;Edges[[#This Row],[Vertex 1]],GroupVertices[Vertex],0)),1,1,"")</f>
        <v>3</v>
      </c>
      <c r="AF428" s="84" t="str">
        <f>REPLACE(INDEX(GroupVertices[Group],MATCH("~"&amp;Edges[[#This Row],[Vertex 2]],GroupVertices[Vertex],0)),1,1,"")</f>
        <v>3</v>
      </c>
    </row>
    <row r="429" spans="1:32" ht="15">
      <c r="A429" s="66" t="s">
        <v>599</v>
      </c>
      <c r="B429" s="66" t="s">
        <v>903</v>
      </c>
      <c r="C429" s="67"/>
      <c r="D429" s="68"/>
      <c r="E429" s="69"/>
      <c r="F429" s="70"/>
      <c r="G429" s="67"/>
      <c r="H429" s="71"/>
      <c r="I429" s="72"/>
      <c r="J429" s="72"/>
      <c r="K429" s="35"/>
      <c r="L429" s="80">
        <v>429</v>
      </c>
      <c r="M429" s="80"/>
      <c r="N429" s="74"/>
      <c r="O429" s="82" t="s">
        <v>909</v>
      </c>
      <c r="P429" s="82" t="s">
        <v>197</v>
      </c>
      <c r="Q429" s="85" t="s">
        <v>1335</v>
      </c>
      <c r="R429" s="82" t="s">
        <v>599</v>
      </c>
      <c r="S429" s="82" t="s">
        <v>2065</v>
      </c>
      <c r="T429" s="87" t="str">
        <f>HYPERLINK("http://www.youtube.com/channel/UCnwhK7Pf6xJ635mvBLTYtVA")</f>
        <v>http://www.youtube.com/channel/UCnwhK7Pf6xJ635mvBLTYtVA</v>
      </c>
      <c r="U429" s="82"/>
      <c r="V429" s="82" t="s">
        <v>2371</v>
      </c>
      <c r="W429" s="87" t="str">
        <f t="shared" si="16"/>
        <v>https://www.youtube.com/watch?v=FdMiVnA6Az0</v>
      </c>
      <c r="X429" s="82" t="s">
        <v>2384</v>
      </c>
      <c r="Y429" s="82">
        <v>0</v>
      </c>
      <c r="Z429" s="89">
        <v>45254.410405092596</v>
      </c>
      <c r="AA429" s="89">
        <v>45254.410405092596</v>
      </c>
      <c r="AB429" s="82"/>
      <c r="AC429" s="82"/>
      <c r="AD429" s="85" t="s">
        <v>2423</v>
      </c>
      <c r="AE429" s="84" t="str">
        <f>REPLACE(INDEX(GroupVertices[Group],MATCH("~"&amp;Edges[[#This Row],[Vertex 1]],GroupVertices[Vertex],0)),1,1,"")</f>
        <v>3</v>
      </c>
      <c r="AF429" s="84" t="str">
        <f>REPLACE(INDEX(GroupVertices[Group],MATCH("~"&amp;Edges[[#This Row],[Vertex 2]],GroupVertices[Vertex],0)),1,1,"")</f>
        <v>3</v>
      </c>
    </row>
    <row r="430" spans="1:32" ht="15">
      <c r="A430" s="66" t="s">
        <v>600</v>
      </c>
      <c r="B430" s="66" t="s">
        <v>903</v>
      </c>
      <c r="C430" s="67"/>
      <c r="D430" s="68"/>
      <c r="E430" s="69"/>
      <c r="F430" s="70"/>
      <c r="G430" s="67"/>
      <c r="H430" s="71"/>
      <c r="I430" s="72"/>
      <c r="J430" s="72"/>
      <c r="K430" s="35"/>
      <c r="L430" s="80">
        <v>430</v>
      </c>
      <c r="M430" s="80"/>
      <c r="N430" s="74"/>
      <c r="O430" s="82" t="s">
        <v>909</v>
      </c>
      <c r="P430" s="82" t="s">
        <v>197</v>
      </c>
      <c r="Q430" s="85" t="s">
        <v>1336</v>
      </c>
      <c r="R430" s="82" t="s">
        <v>600</v>
      </c>
      <c r="S430" s="82" t="s">
        <v>2066</v>
      </c>
      <c r="T430" s="87" t="str">
        <f>HYPERLINK("http://www.youtube.com/channel/UChn8r4R7IyImVZCM-BB9LjA")</f>
        <v>http://www.youtube.com/channel/UChn8r4R7IyImVZCM-BB9LjA</v>
      </c>
      <c r="U430" s="82"/>
      <c r="V430" s="82" t="s">
        <v>2371</v>
      </c>
      <c r="W430" s="87" t="str">
        <f t="shared" si="16"/>
        <v>https://www.youtube.com/watch?v=FdMiVnA6Az0</v>
      </c>
      <c r="X430" s="82" t="s">
        <v>2384</v>
      </c>
      <c r="Y430" s="82">
        <v>0</v>
      </c>
      <c r="Z430" s="89">
        <v>45254.93083333333</v>
      </c>
      <c r="AA430" s="89">
        <v>45254.93083333333</v>
      </c>
      <c r="AB430" s="82"/>
      <c r="AC430" s="82"/>
      <c r="AD430" s="85" t="s">
        <v>2423</v>
      </c>
      <c r="AE430" s="84" t="str">
        <f>REPLACE(INDEX(GroupVertices[Group],MATCH("~"&amp;Edges[[#This Row],[Vertex 1]],GroupVertices[Vertex],0)),1,1,"")</f>
        <v>3</v>
      </c>
      <c r="AF430" s="84" t="str">
        <f>REPLACE(INDEX(GroupVertices[Group],MATCH("~"&amp;Edges[[#This Row],[Vertex 2]],GroupVertices[Vertex],0)),1,1,"")</f>
        <v>3</v>
      </c>
    </row>
    <row r="431" spans="1:32" ht="15">
      <c r="A431" s="66" t="s">
        <v>601</v>
      </c>
      <c r="B431" s="66" t="s">
        <v>903</v>
      </c>
      <c r="C431" s="67"/>
      <c r="D431" s="68"/>
      <c r="E431" s="69"/>
      <c r="F431" s="70"/>
      <c r="G431" s="67"/>
      <c r="H431" s="71"/>
      <c r="I431" s="72"/>
      <c r="J431" s="72"/>
      <c r="K431" s="35"/>
      <c r="L431" s="80">
        <v>431</v>
      </c>
      <c r="M431" s="80"/>
      <c r="N431" s="74"/>
      <c r="O431" s="82" t="s">
        <v>909</v>
      </c>
      <c r="P431" s="82" t="s">
        <v>197</v>
      </c>
      <c r="Q431" s="85" t="s">
        <v>1337</v>
      </c>
      <c r="R431" s="82" t="s">
        <v>601</v>
      </c>
      <c r="S431" s="82" t="s">
        <v>2067</v>
      </c>
      <c r="T431" s="87" t="str">
        <f>HYPERLINK("http://www.youtube.com/channel/UCDORNkLZoO8awjyjbHfT6MQ")</f>
        <v>http://www.youtube.com/channel/UCDORNkLZoO8awjyjbHfT6MQ</v>
      </c>
      <c r="U431" s="82"/>
      <c r="V431" s="82" t="s">
        <v>2371</v>
      </c>
      <c r="W431" s="87" t="str">
        <f t="shared" si="16"/>
        <v>https://www.youtube.com/watch?v=FdMiVnA6Az0</v>
      </c>
      <c r="X431" s="82" t="s">
        <v>2384</v>
      </c>
      <c r="Y431" s="82">
        <v>0</v>
      </c>
      <c r="Z431" s="89">
        <v>45256.17600694444</v>
      </c>
      <c r="AA431" s="89">
        <v>45256.17600694444</v>
      </c>
      <c r="AB431" s="82"/>
      <c r="AC431" s="82"/>
      <c r="AD431" s="85" t="s">
        <v>2423</v>
      </c>
      <c r="AE431" s="84" t="str">
        <f>REPLACE(INDEX(GroupVertices[Group],MATCH("~"&amp;Edges[[#This Row],[Vertex 1]],GroupVertices[Vertex],0)),1,1,"")</f>
        <v>3</v>
      </c>
      <c r="AF431" s="84" t="str">
        <f>REPLACE(INDEX(GroupVertices[Group],MATCH("~"&amp;Edges[[#This Row],[Vertex 2]],GroupVertices[Vertex],0)),1,1,"")</f>
        <v>3</v>
      </c>
    </row>
    <row r="432" spans="1:32" ht="15">
      <c r="A432" s="66" t="s">
        <v>602</v>
      </c>
      <c r="B432" s="66" t="s">
        <v>903</v>
      </c>
      <c r="C432" s="67"/>
      <c r="D432" s="68"/>
      <c r="E432" s="69"/>
      <c r="F432" s="70"/>
      <c r="G432" s="67"/>
      <c r="H432" s="71"/>
      <c r="I432" s="72"/>
      <c r="J432" s="72"/>
      <c r="K432" s="35"/>
      <c r="L432" s="80">
        <v>432</v>
      </c>
      <c r="M432" s="80"/>
      <c r="N432" s="74"/>
      <c r="O432" s="82" t="s">
        <v>909</v>
      </c>
      <c r="P432" s="82" t="s">
        <v>197</v>
      </c>
      <c r="Q432" s="85" t="s">
        <v>1338</v>
      </c>
      <c r="R432" s="82" t="s">
        <v>602</v>
      </c>
      <c r="S432" s="82" t="s">
        <v>2068</v>
      </c>
      <c r="T432" s="87" t="str">
        <f>HYPERLINK("http://www.youtube.com/channel/UCvZ1drUcQdt6kg_qXr67pFA")</f>
        <v>http://www.youtube.com/channel/UCvZ1drUcQdt6kg_qXr67pFA</v>
      </c>
      <c r="U432" s="82"/>
      <c r="V432" s="82" t="s">
        <v>2371</v>
      </c>
      <c r="W432" s="87" t="str">
        <f t="shared" si="16"/>
        <v>https://www.youtube.com/watch?v=FdMiVnA6Az0</v>
      </c>
      <c r="X432" s="82" t="s">
        <v>2384</v>
      </c>
      <c r="Y432" s="82">
        <v>0</v>
      </c>
      <c r="Z432" s="89">
        <v>45256.378541666665</v>
      </c>
      <c r="AA432" s="89">
        <v>45256.378541666665</v>
      </c>
      <c r="AB432" s="82"/>
      <c r="AC432" s="82"/>
      <c r="AD432" s="85" t="s">
        <v>2423</v>
      </c>
      <c r="AE432" s="84" t="str">
        <f>REPLACE(INDEX(GroupVertices[Group],MATCH("~"&amp;Edges[[#This Row],[Vertex 1]],GroupVertices[Vertex],0)),1,1,"")</f>
        <v>3</v>
      </c>
      <c r="AF432" s="84" t="str">
        <f>REPLACE(INDEX(GroupVertices[Group],MATCH("~"&amp;Edges[[#This Row],[Vertex 2]],GroupVertices[Vertex],0)),1,1,"")</f>
        <v>3</v>
      </c>
    </row>
    <row r="433" spans="1:32" ht="15">
      <c r="A433" s="66" t="s">
        <v>603</v>
      </c>
      <c r="B433" s="66" t="s">
        <v>903</v>
      </c>
      <c r="C433" s="67"/>
      <c r="D433" s="68"/>
      <c r="E433" s="69"/>
      <c r="F433" s="70"/>
      <c r="G433" s="67"/>
      <c r="H433" s="71"/>
      <c r="I433" s="72"/>
      <c r="J433" s="72"/>
      <c r="K433" s="35"/>
      <c r="L433" s="80">
        <v>433</v>
      </c>
      <c r="M433" s="80"/>
      <c r="N433" s="74"/>
      <c r="O433" s="82" t="s">
        <v>909</v>
      </c>
      <c r="P433" s="82" t="s">
        <v>197</v>
      </c>
      <c r="Q433" s="85" t="s">
        <v>1339</v>
      </c>
      <c r="R433" s="82" t="s">
        <v>603</v>
      </c>
      <c r="S433" s="82" t="s">
        <v>2069</v>
      </c>
      <c r="T433" s="87" t="str">
        <f>HYPERLINK("http://www.youtube.com/channel/UC4FNblxzUufuzu50GCGWv1g")</f>
        <v>http://www.youtube.com/channel/UC4FNblxzUufuzu50GCGWv1g</v>
      </c>
      <c r="U433" s="82"/>
      <c r="V433" s="82" t="s">
        <v>2371</v>
      </c>
      <c r="W433" s="87" t="str">
        <f t="shared" si="16"/>
        <v>https://www.youtube.com/watch?v=FdMiVnA6Az0</v>
      </c>
      <c r="X433" s="82" t="s">
        <v>2384</v>
      </c>
      <c r="Y433" s="82">
        <v>0</v>
      </c>
      <c r="Z433" s="89">
        <v>45257.323796296296</v>
      </c>
      <c r="AA433" s="89">
        <v>45257.323796296296</v>
      </c>
      <c r="AB433" s="82"/>
      <c r="AC433" s="82"/>
      <c r="AD433" s="85" t="s">
        <v>2423</v>
      </c>
      <c r="AE433" s="84" t="str">
        <f>REPLACE(INDEX(GroupVertices[Group],MATCH("~"&amp;Edges[[#This Row],[Vertex 1]],GroupVertices[Vertex],0)),1,1,"")</f>
        <v>3</v>
      </c>
      <c r="AF433" s="84" t="str">
        <f>REPLACE(INDEX(GroupVertices[Group],MATCH("~"&amp;Edges[[#This Row],[Vertex 2]],GroupVertices[Vertex],0)),1,1,"")</f>
        <v>3</v>
      </c>
    </row>
    <row r="434" spans="1:32" ht="15">
      <c r="A434" s="66" t="s">
        <v>604</v>
      </c>
      <c r="B434" s="66" t="s">
        <v>903</v>
      </c>
      <c r="C434" s="67"/>
      <c r="D434" s="68"/>
      <c r="E434" s="69"/>
      <c r="F434" s="70"/>
      <c r="G434" s="67"/>
      <c r="H434" s="71"/>
      <c r="I434" s="72"/>
      <c r="J434" s="72"/>
      <c r="K434" s="35"/>
      <c r="L434" s="80">
        <v>434</v>
      </c>
      <c r="M434" s="80"/>
      <c r="N434" s="74"/>
      <c r="O434" s="82" t="s">
        <v>909</v>
      </c>
      <c r="P434" s="82" t="s">
        <v>197</v>
      </c>
      <c r="Q434" s="85" t="s">
        <v>1340</v>
      </c>
      <c r="R434" s="82" t="s">
        <v>604</v>
      </c>
      <c r="S434" s="82" t="s">
        <v>2070</v>
      </c>
      <c r="T434" s="87" t="str">
        <f>HYPERLINK("http://www.youtube.com/channel/UCqYhSzZYvi361NoLFB-E-AQ")</f>
        <v>http://www.youtube.com/channel/UCqYhSzZYvi361NoLFB-E-AQ</v>
      </c>
      <c r="U434" s="82"/>
      <c r="V434" s="82" t="s">
        <v>2371</v>
      </c>
      <c r="W434" s="87" t="str">
        <f t="shared" si="16"/>
        <v>https://www.youtube.com/watch?v=FdMiVnA6Az0</v>
      </c>
      <c r="X434" s="82" t="s">
        <v>2384</v>
      </c>
      <c r="Y434" s="82">
        <v>3</v>
      </c>
      <c r="Z434" s="89">
        <v>45258.06631944444</v>
      </c>
      <c r="AA434" s="89">
        <v>45258.06631944444</v>
      </c>
      <c r="AB434" s="82"/>
      <c r="AC434" s="82"/>
      <c r="AD434" s="85" t="s">
        <v>2423</v>
      </c>
      <c r="AE434" s="84" t="str">
        <f>REPLACE(INDEX(GroupVertices[Group],MATCH("~"&amp;Edges[[#This Row],[Vertex 1]],GroupVertices[Vertex],0)),1,1,"")</f>
        <v>3</v>
      </c>
      <c r="AF434" s="84" t="str">
        <f>REPLACE(INDEX(GroupVertices[Group],MATCH("~"&amp;Edges[[#This Row],[Vertex 2]],GroupVertices[Vertex],0)),1,1,"")</f>
        <v>3</v>
      </c>
    </row>
    <row r="435" spans="1:32" ht="15">
      <c r="A435" s="66" t="s">
        <v>605</v>
      </c>
      <c r="B435" s="66" t="s">
        <v>901</v>
      </c>
      <c r="C435" s="67"/>
      <c r="D435" s="68"/>
      <c r="E435" s="69"/>
      <c r="F435" s="70"/>
      <c r="G435" s="67"/>
      <c r="H435" s="71"/>
      <c r="I435" s="72"/>
      <c r="J435" s="72"/>
      <c r="K435" s="35"/>
      <c r="L435" s="80">
        <v>435</v>
      </c>
      <c r="M435" s="80"/>
      <c r="N435" s="74"/>
      <c r="O435" s="82" t="s">
        <v>909</v>
      </c>
      <c r="P435" s="82" t="s">
        <v>197</v>
      </c>
      <c r="Q435" s="85" t="s">
        <v>1341</v>
      </c>
      <c r="R435" s="82" t="s">
        <v>605</v>
      </c>
      <c r="S435" s="82" t="s">
        <v>2071</v>
      </c>
      <c r="T435" s="87" t="str">
        <f>HYPERLINK("http://www.youtube.com/channel/UCkvGif7f1894bm64XjVHang")</f>
        <v>http://www.youtube.com/channel/UCkvGif7f1894bm64XjVHang</v>
      </c>
      <c r="U435" s="82"/>
      <c r="V435" s="82" t="s">
        <v>2368</v>
      </c>
      <c r="W435" s="87" t="str">
        <f>HYPERLINK("https://www.youtube.com/watch?v=gLvkWpnzba8")</f>
        <v>https://www.youtube.com/watch?v=gLvkWpnzba8</v>
      </c>
      <c r="X435" s="82" t="s">
        <v>2384</v>
      </c>
      <c r="Y435" s="82">
        <v>4</v>
      </c>
      <c r="Z435" s="89">
        <v>45260.55574074074</v>
      </c>
      <c r="AA435" s="89">
        <v>45260.55574074074</v>
      </c>
      <c r="AB435" s="82"/>
      <c r="AC435" s="82"/>
      <c r="AD435" s="85" t="s">
        <v>2423</v>
      </c>
      <c r="AE435" s="84" t="str">
        <f>REPLACE(INDEX(GroupVertices[Group],MATCH("~"&amp;Edges[[#This Row],[Vertex 1]],GroupVertices[Vertex],0)),1,1,"")</f>
        <v>3</v>
      </c>
      <c r="AF435" s="84" t="str">
        <f>REPLACE(INDEX(GroupVertices[Group],MATCH("~"&amp;Edges[[#This Row],[Vertex 2]],GroupVertices[Vertex],0)),1,1,"")</f>
        <v>6</v>
      </c>
    </row>
    <row r="436" spans="1:32" ht="15">
      <c r="A436" s="66" t="s">
        <v>605</v>
      </c>
      <c r="B436" s="66" t="s">
        <v>903</v>
      </c>
      <c r="C436" s="67"/>
      <c r="D436" s="68"/>
      <c r="E436" s="69"/>
      <c r="F436" s="70"/>
      <c r="G436" s="67"/>
      <c r="H436" s="71"/>
      <c r="I436" s="72"/>
      <c r="J436" s="72"/>
      <c r="K436" s="35"/>
      <c r="L436" s="80">
        <v>436</v>
      </c>
      <c r="M436" s="80"/>
      <c r="N436" s="74"/>
      <c r="O436" s="82" t="s">
        <v>909</v>
      </c>
      <c r="P436" s="82" t="s">
        <v>197</v>
      </c>
      <c r="Q436" s="85" t="s">
        <v>1342</v>
      </c>
      <c r="R436" s="82" t="s">
        <v>605</v>
      </c>
      <c r="S436" s="82" t="s">
        <v>2071</v>
      </c>
      <c r="T436" s="87" t="str">
        <f>HYPERLINK("http://www.youtube.com/channel/UCkvGif7f1894bm64XjVHang")</f>
        <v>http://www.youtube.com/channel/UCkvGif7f1894bm64XjVHang</v>
      </c>
      <c r="U436" s="82"/>
      <c r="V436" s="82" t="s">
        <v>2371</v>
      </c>
      <c r="W436" s="87" t="str">
        <f aca="true" t="shared" si="17" ref="W436:W443">HYPERLINK("https://www.youtube.com/watch?v=FdMiVnA6Az0")</f>
        <v>https://www.youtube.com/watch?v=FdMiVnA6Az0</v>
      </c>
      <c r="X436" s="82" t="s">
        <v>2384</v>
      </c>
      <c r="Y436" s="82">
        <v>0</v>
      </c>
      <c r="Z436" s="89">
        <v>45258.35381944444</v>
      </c>
      <c r="AA436" s="89">
        <v>45258.35381944444</v>
      </c>
      <c r="AB436" s="82"/>
      <c r="AC436" s="82"/>
      <c r="AD436" s="85" t="s">
        <v>2423</v>
      </c>
      <c r="AE436" s="84" t="str">
        <f>REPLACE(INDEX(GroupVertices[Group],MATCH("~"&amp;Edges[[#This Row],[Vertex 1]],GroupVertices[Vertex],0)),1,1,"")</f>
        <v>3</v>
      </c>
      <c r="AF436" s="84" t="str">
        <f>REPLACE(INDEX(GroupVertices[Group],MATCH("~"&amp;Edges[[#This Row],[Vertex 2]],GroupVertices[Vertex],0)),1,1,"")</f>
        <v>3</v>
      </c>
    </row>
    <row r="437" spans="1:32" ht="15">
      <c r="A437" s="66" t="s">
        <v>606</v>
      </c>
      <c r="B437" s="66" t="s">
        <v>903</v>
      </c>
      <c r="C437" s="67"/>
      <c r="D437" s="68"/>
      <c r="E437" s="69"/>
      <c r="F437" s="70"/>
      <c r="G437" s="67"/>
      <c r="H437" s="71"/>
      <c r="I437" s="72"/>
      <c r="J437" s="72"/>
      <c r="K437" s="35"/>
      <c r="L437" s="80">
        <v>437</v>
      </c>
      <c r="M437" s="80"/>
      <c r="N437" s="74"/>
      <c r="O437" s="82" t="s">
        <v>909</v>
      </c>
      <c r="P437" s="82" t="s">
        <v>197</v>
      </c>
      <c r="Q437" s="85" t="s">
        <v>1343</v>
      </c>
      <c r="R437" s="82" t="s">
        <v>606</v>
      </c>
      <c r="S437" s="82" t="s">
        <v>2072</v>
      </c>
      <c r="T437" s="87" t="str">
        <f>HYPERLINK("http://www.youtube.com/channel/UCmj-FpayGC6QdSQBtA5Kxiw")</f>
        <v>http://www.youtube.com/channel/UCmj-FpayGC6QdSQBtA5Kxiw</v>
      </c>
      <c r="U437" s="82"/>
      <c r="V437" s="82" t="s">
        <v>2371</v>
      </c>
      <c r="W437" s="87" t="str">
        <f t="shared" si="17"/>
        <v>https://www.youtube.com/watch?v=FdMiVnA6Az0</v>
      </c>
      <c r="X437" s="82" t="s">
        <v>2384</v>
      </c>
      <c r="Y437" s="82">
        <v>0</v>
      </c>
      <c r="Z437" s="89">
        <v>45261.09138888889</v>
      </c>
      <c r="AA437" s="89">
        <v>45261.09138888889</v>
      </c>
      <c r="AB437" s="82"/>
      <c r="AC437" s="82"/>
      <c r="AD437" s="85" t="s">
        <v>2423</v>
      </c>
      <c r="AE437" s="84" t="str">
        <f>REPLACE(INDEX(GroupVertices[Group],MATCH("~"&amp;Edges[[#This Row],[Vertex 1]],GroupVertices[Vertex],0)),1,1,"")</f>
        <v>3</v>
      </c>
      <c r="AF437" s="84" t="str">
        <f>REPLACE(INDEX(GroupVertices[Group],MATCH("~"&amp;Edges[[#This Row],[Vertex 2]],GroupVertices[Vertex],0)),1,1,"")</f>
        <v>3</v>
      </c>
    </row>
    <row r="438" spans="1:32" ht="15">
      <c r="A438" s="66" t="s">
        <v>607</v>
      </c>
      <c r="B438" s="66" t="s">
        <v>903</v>
      </c>
      <c r="C438" s="67"/>
      <c r="D438" s="68"/>
      <c r="E438" s="69"/>
      <c r="F438" s="70"/>
      <c r="G438" s="67"/>
      <c r="H438" s="71"/>
      <c r="I438" s="72"/>
      <c r="J438" s="72"/>
      <c r="K438" s="35"/>
      <c r="L438" s="80">
        <v>438</v>
      </c>
      <c r="M438" s="80"/>
      <c r="N438" s="74"/>
      <c r="O438" s="82" t="s">
        <v>909</v>
      </c>
      <c r="P438" s="82" t="s">
        <v>197</v>
      </c>
      <c r="Q438" s="85" t="s">
        <v>1344</v>
      </c>
      <c r="R438" s="82" t="s">
        <v>607</v>
      </c>
      <c r="S438" s="82" t="s">
        <v>2073</v>
      </c>
      <c r="T438" s="87" t="str">
        <f>HYPERLINK("http://www.youtube.com/channel/UC8pzbnzgdk4HN-BQ6PCMGRw")</f>
        <v>http://www.youtube.com/channel/UC8pzbnzgdk4HN-BQ6PCMGRw</v>
      </c>
      <c r="U438" s="82"/>
      <c r="V438" s="82" t="s">
        <v>2371</v>
      </c>
      <c r="W438" s="87" t="str">
        <f t="shared" si="17"/>
        <v>https://www.youtube.com/watch?v=FdMiVnA6Az0</v>
      </c>
      <c r="X438" s="82" t="s">
        <v>2384</v>
      </c>
      <c r="Y438" s="82">
        <v>0</v>
      </c>
      <c r="Z438" s="89">
        <v>45262.52209490741</v>
      </c>
      <c r="AA438" s="89">
        <v>45262.52209490741</v>
      </c>
      <c r="AB438" s="82"/>
      <c r="AC438" s="82"/>
      <c r="AD438" s="85" t="s">
        <v>2423</v>
      </c>
      <c r="AE438" s="84" t="str">
        <f>REPLACE(INDEX(GroupVertices[Group],MATCH("~"&amp;Edges[[#This Row],[Vertex 1]],GroupVertices[Vertex],0)),1,1,"")</f>
        <v>3</v>
      </c>
      <c r="AF438" s="84" t="str">
        <f>REPLACE(INDEX(GroupVertices[Group],MATCH("~"&amp;Edges[[#This Row],[Vertex 2]],GroupVertices[Vertex],0)),1,1,"")</f>
        <v>3</v>
      </c>
    </row>
    <row r="439" spans="1:32" ht="15">
      <c r="A439" s="66" t="s">
        <v>608</v>
      </c>
      <c r="B439" s="66" t="s">
        <v>903</v>
      </c>
      <c r="C439" s="67"/>
      <c r="D439" s="68"/>
      <c r="E439" s="69"/>
      <c r="F439" s="70"/>
      <c r="G439" s="67"/>
      <c r="H439" s="71"/>
      <c r="I439" s="72"/>
      <c r="J439" s="72"/>
      <c r="K439" s="35"/>
      <c r="L439" s="80">
        <v>439</v>
      </c>
      <c r="M439" s="80"/>
      <c r="N439" s="74"/>
      <c r="O439" s="82" t="s">
        <v>909</v>
      </c>
      <c r="P439" s="82" t="s">
        <v>197</v>
      </c>
      <c r="Q439" s="85" t="s">
        <v>1345</v>
      </c>
      <c r="R439" s="82" t="s">
        <v>608</v>
      </c>
      <c r="S439" s="82" t="s">
        <v>2074</v>
      </c>
      <c r="T439" s="87" t="str">
        <f>HYPERLINK("http://www.youtube.com/channel/UC1a_HNbxubi-dDhkgErqtpA")</f>
        <v>http://www.youtube.com/channel/UC1a_HNbxubi-dDhkgErqtpA</v>
      </c>
      <c r="U439" s="82"/>
      <c r="V439" s="82" t="s">
        <v>2371</v>
      </c>
      <c r="W439" s="87" t="str">
        <f t="shared" si="17"/>
        <v>https://www.youtube.com/watch?v=FdMiVnA6Az0</v>
      </c>
      <c r="X439" s="82" t="s">
        <v>2384</v>
      </c>
      <c r="Y439" s="82">
        <v>0</v>
      </c>
      <c r="Z439" s="89">
        <v>45265.19938657407</v>
      </c>
      <c r="AA439" s="89">
        <v>45265.19938657407</v>
      </c>
      <c r="AB439" s="82"/>
      <c r="AC439" s="82"/>
      <c r="AD439" s="85" t="s">
        <v>2423</v>
      </c>
      <c r="AE439" s="84" t="str">
        <f>REPLACE(INDEX(GroupVertices[Group],MATCH("~"&amp;Edges[[#This Row],[Vertex 1]],GroupVertices[Vertex],0)),1,1,"")</f>
        <v>3</v>
      </c>
      <c r="AF439" s="84" t="str">
        <f>REPLACE(INDEX(GroupVertices[Group],MATCH("~"&amp;Edges[[#This Row],[Vertex 2]],GroupVertices[Vertex],0)),1,1,"")</f>
        <v>3</v>
      </c>
    </row>
    <row r="440" spans="1:32" ht="15">
      <c r="A440" s="66" t="s">
        <v>609</v>
      </c>
      <c r="B440" s="66" t="s">
        <v>903</v>
      </c>
      <c r="C440" s="67"/>
      <c r="D440" s="68"/>
      <c r="E440" s="69"/>
      <c r="F440" s="70"/>
      <c r="G440" s="67"/>
      <c r="H440" s="71"/>
      <c r="I440" s="72"/>
      <c r="J440" s="72"/>
      <c r="K440" s="35"/>
      <c r="L440" s="80">
        <v>440</v>
      </c>
      <c r="M440" s="80"/>
      <c r="N440" s="74"/>
      <c r="O440" s="82" t="s">
        <v>909</v>
      </c>
      <c r="P440" s="82" t="s">
        <v>197</v>
      </c>
      <c r="Q440" s="85" t="s">
        <v>1346</v>
      </c>
      <c r="R440" s="82" t="s">
        <v>609</v>
      </c>
      <c r="S440" s="82" t="s">
        <v>2075</v>
      </c>
      <c r="T440" s="87" t="str">
        <f>HYPERLINK("http://www.youtube.com/channel/UC4ZbSETqXsmVlESWrCnyLag")</f>
        <v>http://www.youtube.com/channel/UC4ZbSETqXsmVlESWrCnyLag</v>
      </c>
      <c r="U440" s="82"/>
      <c r="V440" s="82" t="s">
        <v>2371</v>
      </c>
      <c r="W440" s="87" t="str">
        <f t="shared" si="17"/>
        <v>https://www.youtube.com/watch?v=FdMiVnA6Az0</v>
      </c>
      <c r="X440" s="82" t="s">
        <v>2384</v>
      </c>
      <c r="Y440" s="82">
        <v>0</v>
      </c>
      <c r="Z440" s="89">
        <v>45271.2121875</v>
      </c>
      <c r="AA440" s="89">
        <v>45271.2121875</v>
      </c>
      <c r="AB440" s="82"/>
      <c r="AC440" s="82"/>
      <c r="AD440" s="85" t="s">
        <v>2423</v>
      </c>
      <c r="AE440" s="84" t="str">
        <f>REPLACE(INDEX(GroupVertices[Group],MATCH("~"&amp;Edges[[#This Row],[Vertex 1]],GroupVertices[Vertex],0)),1,1,"")</f>
        <v>3</v>
      </c>
      <c r="AF440" s="84" t="str">
        <f>REPLACE(INDEX(GroupVertices[Group],MATCH("~"&amp;Edges[[#This Row],[Vertex 2]],GroupVertices[Vertex],0)),1,1,"")</f>
        <v>3</v>
      </c>
    </row>
    <row r="441" spans="1:32" ht="15">
      <c r="A441" s="66" t="s">
        <v>610</v>
      </c>
      <c r="B441" s="66" t="s">
        <v>903</v>
      </c>
      <c r="C441" s="67"/>
      <c r="D441" s="68"/>
      <c r="E441" s="69"/>
      <c r="F441" s="70"/>
      <c r="G441" s="67"/>
      <c r="H441" s="71"/>
      <c r="I441" s="72"/>
      <c r="J441" s="72"/>
      <c r="K441" s="35"/>
      <c r="L441" s="80">
        <v>441</v>
      </c>
      <c r="M441" s="80"/>
      <c r="N441" s="74"/>
      <c r="O441" s="82" t="s">
        <v>909</v>
      </c>
      <c r="P441" s="82" t="s">
        <v>197</v>
      </c>
      <c r="Q441" s="85" t="s">
        <v>1347</v>
      </c>
      <c r="R441" s="82" t="s">
        <v>610</v>
      </c>
      <c r="S441" s="82" t="s">
        <v>2076</v>
      </c>
      <c r="T441" s="87" t="str">
        <f>HYPERLINK("http://www.youtube.com/channel/UC-98kmyOb7Vv4cT76INUHMg")</f>
        <v>http://www.youtube.com/channel/UC-98kmyOb7Vv4cT76INUHMg</v>
      </c>
      <c r="U441" s="82"/>
      <c r="V441" s="82" t="s">
        <v>2371</v>
      </c>
      <c r="W441" s="87" t="str">
        <f t="shared" si="17"/>
        <v>https://www.youtube.com/watch?v=FdMiVnA6Az0</v>
      </c>
      <c r="X441" s="82" t="s">
        <v>2384</v>
      </c>
      <c r="Y441" s="82">
        <v>0</v>
      </c>
      <c r="Z441" s="89">
        <v>45271.39875</v>
      </c>
      <c r="AA441" s="89">
        <v>45271.39875</v>
      </c>
      <c r="AB441" s="82"/>
      <c r="AC441" s="82"/>
      <c r="AD441" s="85" t="s">
        <v>2423</v>
      </c>
      <c r="AE441" s="84" t="str">
        <f>REPLACE(INDEX(GroupVertices[Group],MATCH("~"&amp;Edges[[#This Row],[Vertex 1]],GroupVertices[Vertex],0)),1,1,"")</f>
        <v>3</v>
      </c>
      <c r="AF441" s="84" t="str">
        <f>REPLACE(INDEX(GroupVertices[Group],MATCH("~"&amp;Edges[[#This Row],[Vertex 2]],GroupVertices[Vertex],0)),1,1,"")</f>
        <v>3</v>
      </c>
    </row>
    <row r="442" spans="1:32" ht="15">
      <c r="A442" s="66" t="s">
        <v>611</v>
      </c>
      <c r="B442" s="66" t="s">
        <v>903</v>
      </c>
      <c r="C442" s="67"/>
      <c r="D442" s="68"/>
      <c r="E442" s="69"/>
      <c r="F442" s="70"/>
      <c r="G442" s="67"/>
      <c r="H442" s="71"/>
      <c r="I442" s="72"/>
      <c r="J442" s="72"/>
      <c r="K442" s="35"/>
      <c r="L442" s="80">
        <v>442</v>
      </c>
      <c r="M442" s="80"/>
      <c r="N442" s="74"/>
      <c r="O442" s="82" t="s">
        <v>909</v>
      </c>
      <c r="P442" s="82" t="s">
        <v>197</v>
      </c>
      <c r="Q442" s="85" t="s">
        <v>1348</v>
      </c>
      <c r="R442" s="82" t="s">
        <v>611</v>
      </c>
      <c r="S442" s="82" t="s">
        <v>2077</v>
      </c>
      <c r="T442" s="87" t="str">
        <f>HYPERLINK("http://www.youtube.com/channel/UCOkk103ccRsLaOrhUu14JZA")</f>
        <v>http://www.youtube.com/channel/UCOkk103ccRsLaOrhUu14JZA</v>
      </c>
      <c r="U442" s="82"/>
      <c r="V442" s="82" t="s">
        <v>2371</v>
      </c>
      <c r="W442" s="87" t="str">
        <f t="shared" si="17"/>
        <v>https://www.youtube.com/watch?v=FdMiVnA6Az0</v>
      </c>
      <c r="X442" s="82" t="s">
        <v>2384</v>
      </c>
      <c r="Y442" s="82">
        <v>0</v>
      </c>
      <c r="Z442" s="89">
        <v>45272.08290509259</v>
      </c>
      <c r="AA442" s="89">
        <v>45272.08290509259</v>
      </c>
      <c r="AB442" s="82"/>
      <c r="AC442" s="82"/>
      <c r="AD442" s="85" t="s">
        <v>2423</v>
      </c>
      <c r="AE442" s="84" t="str">
        <f>REPLACE(INDEX(GroupVertices[Group],MATCH("~"&amp;Edges[[#This Row],[Vertex 1]],GroupVertices[Vertex],0)),1,1,"")</f>
        <v>3</v>
      </c>
      <c r="AF442" s="84" t="str">
        <f>REPLACE(INDEX(GroupVertices[Group],MATCH("~"&amp;Edges[[#This Row],[Vertex 2]],GroupVertices[Vertex],0)),1,1,"")</f>
        <v>3</v>
      </c>
    </row>
    <row r="443" spans="1:32" ht="15">
      <c r="A443" s="66" t="s">
        <v>612</v>
      </c>
      <c r="B443" s="66" t="s">
        <v>903</v>
      </c>
      <c r="C443" s="67"/>
      <c r="D443" s="68"/>
      <c r="E443" s="69"/>
      <c r="F443" s="70"/>
      <c r="G443" s="67"/>
      <c r="H443" s="71"/>
      <c r="I443" s="72"/>
      <c r="J443" s="72"/>
      <c r="K443" s="35"/>
      <c r="L443" s="80">
        <v>443</v>
      </c>
      <c r="M443" s="80"/>
      <c r="N443" s="74"/>
      <c r="O443" s="82" t="s">
        <v>909</v>
      </c>
      <c r="P443" s="82" t="s">
        <v>197</v>
      </c>
      <c r="Q443" s="85" t="s">
        <v>1349</v>
      </c>
      <c r="R443" s="82" t="s">
        <v>612</v>
      </c>
      <c r="S443" s="82" t="s">
        <v>2078</v>
      </c>
      <c r="T443" s="87" t="str">
        <f>HYPERLINK("http://www.youtube.com/channel/UCm2UQKqEmJK5hl-OKH2sm6g")</f>
        <v>http://www.youtube.com/channel/UCm2UQKqEmJK5hl-OKH2sm6g</v>
      </c>
      <c r="U443" s="82"/>
      <c r="V443" s="82" t="s">
        <v>2371</v>
      </c>
      <c r="W443" s="87" t="str">
        <f t="shared" si="17"/>
        <v>https://www.youtube.com/watch?v=FdMiVnA6Az0</v>
      </c>
      <c r="X443" s="82" t="s">
        <v>2384</v>
      </c>
      <c r="Y443" s="82">
        <v>0</v>
      </c>
      <c r="Z443" s="89">
        <v>45277.00053240741</v>
      </c>
      <c r="AA443" s="89">
        <v>45277.00053240741</v>
      </c>
      <c r="AB443" s="82"/>
      <c r="AC443" s="82"/>
      <c r="AD443" s="85" t="s">
        <v>2423</v>
      </c>
      <c r="AE443" s="84" t="str">
        <f>REPLACE(INDEX(GroupVertices[Group],MATCH("~"&amp;Edges[[#This Row],[Vertex 1]],GroupVertices[Vertex],0)),1,1,"")</f>
        <v>3</v>
      </c>
      <c r="AF443" s="84" t="str">
        <f>REPLACE(INDEX(GroupVertices[Group],MATCH("~"&amp;Edges[[#This Row],[Vertex 2]],GroupVertices[Vertex],0)),1,1,"")</f>
        <v>3</v>
      </c>
    </row>
    <row r="444" spans="1:32" ht="15">
      <c r="A444" s="66" t="s">
        <v>613</v>
      </c>
      <c r="B444" s="66" t="s">
        <v>902</v>
      </c>
      <c r="C444" s="67"/>
      <c r="D444" s="68"/>
      <c r="E444" s="69"/>
      <c r="F444" s="70"/>
      <c r="G444" s="67"/>
      <c r="H444" s="71"/>
      <c r="I444" s="72"/>
      <c r="J444" s="72"/>
      <c r="K444" s="35"/>
      <c r="L444" s="80">
        <v>444</v>
      </c>
      <c r="M444" s="80"/>
      <c r="N444" s="74"/>
      <c r="O444" s="82" t="s">
        <v>909</v>
      </c>
      <c r="P444" s="82" t="s">
        <v>197</v>
      </c>
      <c r="Q444" s="85" t="s">
        <v>1350</v>
      </c>
      <c r="R444" s="82" t="s">
        <v>613</v>
      </c>
      <c r="S444" s="82" t="s">
        <v>2079</v>
      </c>
      <c r="T444" s="87" t="str">
        <f>HYPERLINK("http://www.youtube.com/channel/UCyUofwPNAPR-gFOkTB2b2tg")</f>
        <v>http://www.youtube.com/channel/UCyUofwPNAPR-gFOkTB2b2tg</v>
      </c>
      <c r="U444" s="82"/>
      <c r="V444" s="82" t="s">
        <v>2369</v>
      </c>
      <c r="W444" s="87" t="str">
        <f>HYPERLINK("https://www.youtube.com/watch?v=E39neWnw9AA")</f>
        <v>https://www.youtube.com/watch?v=E39neWnw9AA</v>
      </c>
      <c r="X444" s="82" t="s">
        <v>2384</v>
      </c>
      <c r="Y444" s="82">
        <v>0</v>
      </c>
      <c r="Z444" s="89">
        <v>45271.946967592594</v>
      </c>
      <c r="AA444" s="89">
        <v>45271.946967592594</v>
      </c>
      <c r="AB444" s="82"/>
      <c r="AC444" s="82"/>
      <c r="AD444" s="85" t="s">
        <v>2423</v>
      </c>
      <c r="AE444" s="84" t="str">
        <f>REPLACE(INDEX(GroupVertices[Group],MATCH("~"&amp;Edges[[#This Row],[Vertex 1]],GroupVertices[Vertex],0)),1,1,"")</f>
        <v>3</v>
      </c>
      <c r="AF444" s="84" t="str">
        <f>REPLACE(INDEX(GroupVertices[Group],MATCH("~"&amp;Edges[[#This Row],[Vertex 2]],GroupVertices[Vertex],0)),1,1,"")</f>
        <v>4</v>
      </c>
    </row>
    <row r="445" spans="1:32" ht="15">
      <c r="A445" s="66" t="s">
        <v>613</v>
      </c>
      <c r="B445" s="66" t="s">
        <v>903</v>
      </c>
      <c r="C445" s="67"/>
      <c r="D445" s="68"/>
      <c r="E445" s="69"/>
      <c r="F445" s="70"/>
      <c r="G445" s="67"/>
      <c r="H445" s="71"/>
      <c r="I445" s="72"/>
      <c r="J445" s="72"/>
      <c r="K445" s="35"/>
      <c r="L445" s="80">
        <v>445</v>
      </c>
      <c r="M445" s="80"/>
      <c r="N445" s="74"/>
      <c r="O445" s="82" t="s">
        <v>909</v>
      </c>
      <c r="P445" s="82" t="s">
        <v>197</v>
      </c>
      <c r="Q445" s="85" t="s">
        <v>1351</v>
      </c>
      <c r="R445" s="82" t="s">
        <v>613</v>
      </c>
      <c r="S445" s="82" t="s">
        <v>2079</v>
      </c>
      <c r="T445" s="87" t="str">
        <f>HYPERLINK("http://www.youtube.com/channel/UCyUofwPNAPR-gFOkTB2b2tg")</f>
        <v>http://www.youtube.com/channel/UCyUofwPNAPR-gFOkTB2b2tg</v>
      </c>
      <c r="U445" s="82"/>
      <c r="V445" s="82" t="s">
        <v>2371</v>
      </c>
      <c r="W445" s="87" t="str">
        <f aca="true" t="shared" si="18" ref="W445:W451">HYPERLINK("https://www.youtube.com/watch?v=FdMiVnA6Az0")</f>
        <v>https://www.youtube.com/watch?v=FdMiVnA6Az0</v>
      </c>
      <c r="X445" s="82" t="s">
        <v>2384</v>
      </c>
      <c r="Y445" s="82">
        <v>0</v>
      </c>
      <c r="Z445" s="89">
        <v>45277.964155092595</v>
      </c>
      <c r="AA445" s="89">
        <v>45277.964155092595</v>
      </c>
      <c r="AB445" s="82" t="s">
        <v>2405</v>
      </c>
      <c r="AC445" s="82" t="s">
        <v>2421</v>
      </c>
      <c r="AD445" s="85" t="s">
        <v>2423</v>
      </c>
      <c r="AE445" s="84" t="str">
        <f>REPLACE(INDEX(GroupVertices[Group],MATCH("~"&amp;Edges[[#This Row],[Vertex 1]],GroupVertices[Vertex],0)),1,1,"")</f>
        <v>3</v>
      </c>
      <c r="AF445" s="84" t="str">
        <f>REPLACE(INDEX(GroupVertices[Group],MATCH("~"&amp;Edges[[#This Row],[Vertex 2]],GroupVertices[Vertex],0)),1,1,"")</f>
        <v>3</v>
      </c>
    </row>
    <row r="446" spans="1:32" ht="15">
      <c r="A446" s="66" t="s">
        <v>614</v>
      </c>
      <c r="B446" s="66" t="s">
        <v>903</v>
      </c>
      <c r="C446" s="67"/>
      <c r="D446" s="68"/>
      <c r="E446" s="69"/>
      <c r="F446" s="70"/>
      <c r="G446" s="67"/>
      <c r="H446" s="71"/>
      <c r="I446" s="72"/>
      <c r="J446" s="72"/>
      <c r="K446" s="35"/>
      <c r="L446" s="80">
        <v>446</v>
      </c>
      <c r="M446" s="80"/>
      <c r="N446" s="74"/>
      <c r="O446" s="82" t="s">
        <v>909</v>
      </c>
      <c r="P446" s="82" t="s">
        <v>197</v>
      </c>
      <c r="Q446" s="85" t="s">
        <v>1352</v>
      </c>
      <c r="R446" s="82" t="s">
        <v>614</v>
      </c>
      <c r="S446" s="82" t="s">
        <v>2080</v>
      </c>
      <c r="T446" s="87" t="str">
        <f>HYPERLINK("http://www.youtube.com/channel/UCD8Dlf8WwjM2inWlDX-R6TA")</f>
        <v>http://www.youtube.com/channel/UCD8Dlf8WwjM2inWlDX-R6TA</v>
      </c>
      <c r="U446" s="82"/>
      <c r="V446" s="82" t="s">
        <v>2371</v>
      </c>
      <c r="W446" s="87" t="str">
        <f t="shared" si="18"/>
        <v>https://www.youtube.com/watch?v=FdMiVnA6Az0</v>
      </c>
      <c r="X446" s="82" t="s">
        <v>2384</v>
      </c>
      <c r="Y446" s="82">
        <v>0</v>
      </c>
      <c r="Z446" s="89">
        <v>45285.048368055555</v>
      </c>
      <c r="AA446" s="89">
        <v>45285.048368055555</v>
      </c>
      <c r="AB446" s="82"/>
      <c r="AC446" s="82"/>
      <c r="AD446" s="85" t="s">
        <v>2423</v>
      </c>
      <c r="AE446" s="84" t="str">
        <f>REPLACE(INDEX(GroupVertices[Group],MATCH("~"&amp;Edges[[#This Row],[Vertex 1]],GroupVertices[Vertex],0)),1,1,"")</f>
        <v>3</v>
      </c>
      <c r="AF446" s="84" t="str">
        <f>REPLACE(INDEX(GroupVertices[Group],MATCH("~"&amp;Edges[[#This Row],[Vertex 2]],GroupVertices[Vertex],0)),1,1,"")</f>
        <v>3</v>
      </c>
    </row>
    <row r="447" spans="1:32" ht="15">
      <c r="A447" s="66" t="s">
        <v>615</v>
      </c>
      <c r="B447" s="66" t="s">
        <v>903</v>
      </c>
      <c r="C447" s="67"/>
      <c r="D447" s="68"/>
      <c r="E447" s="69"/>
      <c r="F447" s="70"/>
      <c r="G447" s="67"/>
      <c r="H447" s="71"/>
      <c r="I447" s="72"/>
      <c r="J447" s="72"/>
      <c r="K447" s="35"/>
      <c r="L447" s="80">
        <v>447</v>
      </c>
      <c r="M447" s="80"/>
      <c r="N447" s="74"/>
      <c r="O447" s="82" t="s">
        <v>909</v>
      </c>
      <c r="P447" s="82" t="s">
        <v>197</v>
      </c>
      <c r="Q447" s="85" t="s">
        <v>1353</v>
      </c>
      <c r="R447" s="82" t="s">
        <v>615</v>
      </c>
      <c r="S447" s="82" t="s">
        <v>2081</v>
      </c>
      <c r="T447" s="87" t="str">
        <f>HYPERLINK("http://www.youtube.com/channel/UCwz300XgVAtkhgeTweaQbkA")</f>
        <v>http://www.youtube.com/channel/UCwz300XgVAtkhgeTweaQbkA</v>
      </c>
      <c r="U447" s="82"/>
      <c r="V447" s="82" t="s">
        <v>2371</v>
      </c>
      <c r="W447" s="87" t="str">
        <f t="shared" si="18"/>
        <v>https://www.youtube.com/watch?v=FdMiVnA6Az0</v>
      </c>
      <c r="X447" s="82" t="s">
        <v>2384</v>
      </c>
      <c r="Y447" s="82">
        <v>0</v>
      </c>
      <c r="Z447" s="89">
        <v>45290.79431712963</v>
      </c>
      <c r="AA447" s="89">
        <v>45290.79431712963</v>
      </c>
      <c r="AB447" s="82"/>
      <c r="AC447" s="82"/>
      <c r="AD447" s="85" t="s">
        <v>2423</v>
      </c>
      <c r="AE447" s="84" t="str">
        <f>REPLACE(INDEX(GroupVertices[Group],MATCH("~"&amp;Edges[[#This Row],[Vertex 1]],GroupVertices[Vertex],0)),1,1,"")</f>
        <v>3</v>
      </c>
      <c r="AF447" s="84" t="str">
        <f>REPLACE(INDEX(GroupVertices[Group],MATCH("~"&amp;Edges[[#This Row],[Vertex 2]],GroupVertices[Vertex],0)),1,1,"")</f>
        <v>3</v>
      </c>
    </row>
    <row r="448" spans="1:32" ht="15">
      <c r="A448" s="66" t="s">
        <v>615</v>
      </c>
      <c r="B448" s="66" t="s">
        <v>903</v>
      </c>
      <c r="C448" s="67"/>
      <c r="D448" s="68"/>
      <c r="E448" s="69"/>
      <c r="F448" s="70"/>
      <c r="G448" s="67"/>
      <c r="H448" s="71"/>
      <c r="I448" s="72"/>
      <c r="J448" s="72"/>
      <c r="K448" s="35"/>
      <c r="L448" s="80">
        <v>448</v>
      </c>
      <c r="M448" s="80"/>
      <c r="N448" s="74"/>
      <c r="O448" s="82" t="s">
        <v>909</v>
      </c>
      <c r="P448" s="82" t="s">
        <v>197</v>
      </c>
      <c r="Q448" s="85" t="s">
        <v>1354</v>
      </c>
      <c r="R448" s="82" t="s">
        <v>615</v>
      </c>
      <c r="S448" s="82" t="s">
        <v>2081</v>
      </c>
      <c r="T448" s="87" t="str">
        <f>HYPERLINK("http://www.youtube.com/channel/UCwz300XgVAtkhgeTweaQbkA")</f>
        <v>http://www.youtube.com/channel/UCwz300XgVAtkhgeTweaQbkA</v>
      </c>
      <c r="U448" s="82"/>
      <c r="V448" s="82" t="s">
        <v>2371</v>
      </c>
      <c r="W448" s="87" t="str">
        <f t="shared" si="18"/>
        <v>https://www.youtube.com/watch?v=FdMiVnA6Az0</v>
      </c>
      <c r="X448" s="82" t="s">
        <v>2384</v>
      </c>
      <c r="Y448" s="82">
        <v>0</v>
      </c>
      <c r="Z448" s="89">
        <v>45290.79820601852</v>
      </c>
      <c r="AA448" s="89">
        <v>45290.79820601852</v>
      </c>
      <c r="AB448" s="82"/>
      <c r="AC448" s="82"/>
      <c r="AD448" s="85" t="s">
        <v>2423</v>
      </c>
      <c r="AE448" s="84" t="str">
        <f>REPLACE(INDEX(GroupVertices[Group],MATCH("~"&amp;Edges[[#This Row],[Vertex 1]],GroupVertices[Vertex],0)),1,1,"")</f>
        <v>3</v>
      </c>
      <c r="AF448" s="84" t="str">
        <f>REPLACE(INDEX(GroupVertices[Group],MATCH("~"&amp;Edges[[#This Row],[Vertex 2]],GroupVertices[Vertex],0)),1,1,"")</f>
        <v>3</v>
      </c>
    </row>
    <row r="449" spans="1:32" ht="15">
      <c r="A449" s="66" t="s">
        <v>616</v>
      </c>
      <c r="B449" s="66" t="s">
        <v>903</v>
      </c>
      <c r="C449" s="67"/>
      <c r="D449" s="68"/>
      <c r="E449" s="69"/>
      <c r="F449" s="70"/>
      <c r="G449" s="67"/>
      <c r="H449" s="71"/>
      <c r="I449" s="72"/>
      <c r="J449" s="72"/>
      <c r="K449" s="35"/>
      <c r="L449" s="80">
        <v>449</v>
      </c>
      <c r="M449" s="80"/>
      <c r="N449" s="74"/>
      <c r="O449" s="82" t="s">
        <v>909</v>
      </c>
      <c r="P449" s="82" t="s">
        <v>197</v>
      </c>
      <c r="Q449" s="85" t="s">
        <v>1355</v>
      </c>
      <c r="R449" s="82" t="s">
        <v>616</v>
      </c>
      <c r="S449" s="82" t="s">
        <v>2082</v>
      </c>
      <c r="T449" s="87" t="str">
        <f>HYPERLINK("http://www.youtube.com/channel/UC9cqFiYM22JO8FuNn-aBgOQ")</f>
        <v>http://www.youtube.com/channel/UC9cqFiYM22JO8FuNn-aBgOQ</v>
      </c>
      <c r="U449" s="82"/>
      <c r="V449" s="82" t="s">
        <v>2371</v>
      </c>
      <c r="W449" s="87" t="str">
        <f t="shared" si="18"/>
        <v>https://www.youtube.com/watch?v=FdMiVnA6Az0</v>
      </c>
      <c r="X449" s="82" t="s">
        <v>2384</v>
      </c>
      <c r="Y449" s="82">
        <v>0</v>
      </c>
      <c r="Z449" s="89">
        <v>45292.876979166664</v>
      </c>
      <c r="AA449" s="89">
        <v>45292.876979166664</v>
      </c>
      <c r="AB449" s="82"/>
      <c r="AC449" s="82"/>
      <c r="AD449" s="85" t="s">
        <v>2423</v>
      </c>
      <c r="AE449" s="84" t="str">
        <f>REPLACE(INDEX(GroupVertices[Group],MATCH("~"&amp;Edges[[#This Row],[Vertex 1]],GroupVertices[Vertex],0)),1,1,"")</f>
        <v>3</v>
      </c>
      <c r="AF449" s="84" t="str">
        <f>REPLACE(INDEX(GroupVertices[Group],MATCH("~"&amp;Edges[[#This Row],[Vertex 2]],GroupVertices[Vertex],0)),1,1,"")</f>
        <v>3</v>
      </c>
    </row>
    <row r="450" spans="1:32" ht="15">
      <c r="A450" s="66" t="s">
        <v>617</v>
      </c>
      <c r="B450" s="66" t="s">
        <v>903</v>
      </c>
      <c r="C450" s="67"/>
      <c r="D450" s="68"/>
      <c r="E450" s="69"/>
      <c r="F450" s="70"/>
      <c r="G450" s="67"/>
      <c r="H450" s="71"/>
      <c r="I450" s="72"/>
      <c r="J450" s="72"/>
      <c r="K450" s="35"/>
      <c r="L450" s="80">
        <v>450</v>
      </c>
      <c r="M450" s="80"/>
      <c r="N450" s="74"/>
      <c r="O450" s="82" t="s">
        <v>909</v>
      </c>
      <c r="P450" s="82" t="s">
        <v>197</v>
      </c>
      <c r="Q450" s="85" t="s">
        <v>1356</v>
      </c>
      <c r="R450" s="82" t="s">
        <v>617</v>
      </c>
      <c r="S450" s="82" t="s">
        <v>2083</v>
      </c>
      <c r="T450" s="87" t="str">
        <f>HYPERLINK("http://www.youtube.com/channel/UCtxs8eSxQlIRD3AGW6_OROw")</f>
        <v>http://www.youtube.com/channel/UCtxs8eSxQlIRD3AGW6_OROw</v>
      </c>
      <c r="U450" s="82"/>
      <c r="V450" s="82" t="s">
        <v>2371</v>
      </c>
      <c r="W450" s="87" t="str">
        <f t="shared" si="18"/>
        <v>https://www.youtube.com/watch?v=FdMiVnA6Az0</v>
      </c>
      <c r="X450" s="82" t="s">
        <v>2384</v>
      </c>
      <c r="Y450" s="82">
        <v>0</v>
      </c>
      <c r="Z450" s="89">
        <v>45295.38010416667</v>
      </c>
      <c r="AA450" s="89">
        <v>45295.38010416667</v>
      </c>
      <c r="AB450" s="82"/>
      <c r="AC450" s="82"/>
      <c r="AD450" s="85" t="s">
        <v>2423</v>
      </c>
      <c r="AE450" s="84" t="str">
        <f>REPLACE(INDEX(GroupVertices[Group],MATCH("~"&amp;Edges[[#This Row],[Vertex 1]],GroupVertices[Vertex],0)),1,1,"")</f>
        <v>3</v>
      </c>
      <c r="AF450" s="84" t="str">
        <f>REPLACE(INDEX(GroupVertices[Group],MATCH("~"&amp;Edges[[#This Row],[Vertex 2]],GroupVertices[Vertex],0)),1,1,"")</f>
        <v>3</v>
      </c>
    </row>
    <row r="451" spans="1:32" ht="15">
      <c r="A451" s="66" t="s">
        <v>618</v>
      </c>
      <c r="B451" s="66" t="s">
        <v>903</v>
      </c>
      <c r="C451" s="67"/>
      <c r="D451" s="68"/>
      <c r="E451" s="69"/>
      <c r="F451" s="70"/>
      <c r="G451" s="67"/>
      <c r="H451" s="71"/>
      <c r="I451" s="72"/>
      <c r="J451" s="72"/>
      <c r="K451" s="35"/>
      <c r="L451" s="80">
        <v>451</v>
      </c>
      <c r="M451" s="80"/>
      <c r="N451" s="74"/>
      <c r="O451" s="82" t="s">
        <v>909</v>
      </c>
      <c r="P451" s="82" t="s">
        <v>197</v>
      </c>
      <c r="Q451" s="85" t="s">
        <v>1357</v>
      </c>
      <c r="R451" s="82" t="s">
        <v>618</v>
      </c>
      <c r="S451" s="82" t="s">
        <v>2084</v>
      </c>
      <c r="T451" s="87" t="str">
        <f>HYPERLINK("http://www.youtube.com/channel/UCpci2sLkL_ruOvMfjkxt23g")</f>
        <v>http://www.youtube.com/channel/UCpci2sLkL_ruOvMfjkxt23g</v>
      </c>
      <c r="U451" s="82"/>
      <c r="V451" s="82" t="s">
        <v>2371</v>
      </c>
      <c r="W451" s="87" t="str">
        <f t="shared" si="18"/>
        <v>https://www.youtube.com/watch?v=FdMiVnA6Az0</v>
      </c>
      <c r="X451" s="82" t="s">
        <v>2384</v>
      </c>
      <c r="Y451" s="82">
        <v>0</v>
      </c>
      <c r="Z451" s="89">
        <v>45302.58476851852</v>
      </c>
      <c r="AA451" s="89">
        <v>45302.58476851852</v>
      </c>
      <c r="AB451" s="82"/>
      <c r="AC451" s="82"/>
      <c r="AD451" s="85" t="s">
        <v>2423</v>
      </c>
      <c r="AE451" s="84" t="str">
        <f>REPLACE(INDEX(GroupVertices[Group],MATCH("~"&amp;Edges[[#This Row],[Vertex 1]],GroupVertices[Vertex],0)),1,1,"")</f>
        <v>3</v>
      </c>
      <c r="AF451" s="84" t="str">
        <f>REPLACE(INDEX(GroupVertices[Group],MATCH("~"&amp;Edges[[#This Row],[Vertex 2]],GroupVertices[Vertex],0)),1,1,"")</f>
        <v>3</v>
      </c>
    </row>
    <row r="452" spans="1:32" ht="15">
      <c r="A452" s="66" t="s">
        <v>619</v>
      </c>
      <c r="B452" s="66" t="s">
        <v>904</v>
      </c>
      <c r="C452" s="67"/>
      <c r="D452" s="68"/>
      <c r="E452" s="69"/>
      <c r="F452" s="70"/>
      <c r="G452" s="67"/>
      <c r="H452" s="71"/>
      <c r="I452" s="72"/>
      <c r="J452" s="72"/>
      <c r="K452" s="35"/>
      <c r="L452" s="80">
        <v>452</v>
      </c>
      <c r="M452" s="80"/>
      <c r="N452" s="74"/>
      <c r="O452" s="82" t="s">
        <v>909</v>
      </c>
      <c r="P452" s="82" t="s">
        <v>197</v>
      </c>
      <c r="Q452" s="85" t="s">
        <v>1358</v>
      </c>
      <c r="R452" s="82" t="s">
        <v>619</v>
      </c>
      <c r="S452" s="82" t="s">
        <v>2085</v>
      </c>
      <c r="T452" s="87" t="str">
        <f>HYPERLINK("http://www.youtube.com/channel/UCt5h7mSYF__S9Gg2kTtxqqw")</f>
        <v>http://www.youtube.com/channel/UCt5h7mSYF__S9Gg2kTtxqqw</v>
      </c>
      <c r="U452" s="82"/>
      <c r="V452" s="82" t="s">
        <v>2372</v>
      </c>
      <c r="W452" s="87" t="str">
        <f>HYPERLINK("https://www.youtube.com/watch?v=U2dUwmXMLpw")</f>
        <v>https://www.youtube.com/watch?v=U2dUwmXMLpw</v>
      </c>
      <c r="X452" s="82" t="s">
        <v>2384</v>
      </c>
      <c r="Y452" s="82">
        <v>1</v>
      </c>
      <c r="Z452" s="89">
        <v>42913.80625</v>
      </c>
      <c r="AA452" s="89">
        <v>42913.80625</v>
      </c>
      <c r="AB452" s="82"/>
      <c r="AC452" s="82"/>
      <c r="AD452" s="85" t="s">
        <v>2423</v>
      </c>
      <c r="AE452" s="84" t="str">
        <f>REPLACE(INDEX(GroupVertices[Group],MATCH("~"&amp;Edges[[#This Row],[Vertex 1]],GroupVertices[Vertex],0)),1,1,"")</f>
        <v>8</v>
      </c>
      <c r="AF452" s="84" t="str">
        <f>REPLACE(INDEX(GroupVertices[Group],MATCH("~"&amp;Edges[[#This Row],[Vertex 2]],GroupVertices[Vertex],0)),1,1,"")</f>
        <v>8</v>
      </c>
    </row>
    <row r="453" spans="1:32" ht="15">
      <c r="A453" s="66" t="s">
        <v>620</v>
      </c>
      <c r="B453" s="66" t="s">
        <v>904</v>
      </c>
      <c r="C453" s="67"/>
      <c r="D453" s="68"/>
      <c r="E453" s="69"/>
      <c r="F453" s="70"/>
      <c r="G453" s="67"/>
      <c r="H453" s="71"/>
      <c r="I453" s="72"/>
      <c r="J453" s="72"/>
      <c r="K453" s="35"/>
      <c r="L453" s="80">
        <v>453</v>
      </c>
      <c r="M453" s="80"/>
      <c r="N453" s="74"/>
      <c r="O453" s="82" t="s">
        <v>909</v>
      </c>
      <c r="P453" s="82" t="s">
        <v>197</v>
      </c>
      <c r="Q453" s="85" t="s">
        <v>1359</v>
      </c>
      <c r="R453" s="82" t="s">
        <v>620</v>
      </c>
      <c r="S453" s="82" t="s">
        <v>2086</v>
      </c>
      <c r="T453" s="87" t="str">
        <f>HYPERLINK("http://www.youtube.com/channel/UCabVEwgOPIRS9PEGfje06ig")</f>
        <v>http://www.youtube.com/channel/UCabVEwgOPIRS9PEGfje06ig</v>
      </c>
      <c r="U453" s="82"/>
      <c r="V453" s="82" t="s">
        <v>2372</v>
      </c>
      <c r="W453" s="87" t="str">
        <f>HYPERLINK("https://www.youtube.com/watch?v=U2dUwmXMLpw")</f>
        <v>https://www.youtube.com/watch?v=U2dUwmXMLpw</v>
      </c>
      <c r="X453" s="82" t="s">
        <v>2384</v>
      </c>
      <c r="Y453" s="82">
        <v>1</v>
      </c>
      <c r="Z453" s="89">
        <v>44530.111655092594</v>
      </c>
      <c r="AA453" s="89">
        <v>44530.111655092594</v>
      </c>
      <c r="AB453" s="82"/>
      <c r="AC453" s="82"/>
      <c r="AD453" s="85" t="s">
        <v>2423</v>
      </c>
      <c r="AE453" s="84" t="str">
        <f>REPLACE(INDEX(GroupVertices[Group],MATCH("~"&amp;Edges[[#This Row],[Vertex 1]],GroupVertices[Vertex],0)),1,1,"")</f>
        <v>8</v>
      </c>
      <c r="AF453" s="84" t="str">
        <f>REPLACE(INDEX(GroupVertices[Group],MATCH("~"&amp;Edges[[#This Row],[Vertex 2]],GroupVertices[Vertex],0)),1,1,"")</f>
        <v>8</v>
      </c>
    </row>
    <row r="454" spans="1:32" ht="15">
      <c r="A454" s="66" t="s">
        <v>621</v>
      </c>
      <c r="B454" s="66" t="s">
        <v>904</v>
      </c>
      <c r="C454" s="67"/>
      <c r="D454" s="68"/>
      <c r="E454" s="69"/>
      <c r="F454" s="70"/>
      <c r="G454" s="67"/>
      <c r="H454" s="71"/>
      <c r="I454" s="72"/>
      <c r="J454" s="72"/>
      <c r="K454" s="35"/>
      <c r="L454" s="80">
        <v>454</v>
      </c>
      <c r="M454" s="80"/>
      <c r="N454" s="74"/>
      <c r="O454" s="82" t="s">
        <v>909</v>
      </c>
      <c r="P454" s="82" t="s">
        <v>197</v>
      </c>
      <c r="Q454" s="85" t="s">
        <v>1360</v>
      </c>
      <c r="R454" s="82" t="s">
        <v>621</v>
      </c>
      <c r="S454" s="82" t="s">
        <v>2087</v>
      </c>
      <c r="T454" s="87" t="str">
        <f>HYPERLINK("http://www.youtube.com/channel/UC_jrDCc0TN56qJ3qVpA0hxA")</f>
        <v>http://www.youtube.com/channel/UC_jrDCc0TN56qJ3qVpA0hxA</v>
      </c>
      <c r="U454" s="82"/>
      <c r="V454" s="82" t="s">
        <v>2372</v>
      </c>
      <c r="W454" s="87" t="str">
        <f>HYPERLINK("https://www.youtube.com/watch?v=U2dUwmXMLpw")</f>
        <v>https://www.youtube.com/watch?v=U2dUwmXMLpw</v>
      </c>
      <c r="X454" s="82" t="s">
        <v>2384</v>
      </c>
      <c r="Y454" s="82">
        <v>2</v>
      </c>
      <c r="Z454" s="89">
        <v>44612.776666666665</v>
      </c>
      <c r="AA454" s="89">
        <v>44612.776666666665</v>
      </c>
      <c r="AB454" s="82"/>
      <c r="AC454" s="82"/>
      <c r="AD454" s="85" t="s">
        <v>2423</v>
      </c>
      <c r="AE454" s="84" t="str">
        <f>REPLACE(INDEX(GroupVertices[Group],MATCH("~"&amp;Edges[[#This Row],[Vertex 1]],GroupVertices[Vertex],0)),1,1,"")</f>
        <v>8</v>
      </c>
      <c r="AF454" s="84" t="str">
        <f>REPLACE(INDEX(GroupVertices[Group],MATCH("~"&amp;Edges[[#This Row],[Vertex 2]],GroupVertices[Vertex],0)),1,1,"")</f>
        <v>8</v>
      </c>
    </row>
    <row r="455" spans="1:32" ht="15">
      <c r="A455" s="66" t="s">
        <v>622</v>
      </c>
      <c r="B455" s="66" t="s">
        <v>905</v>
      </c>
      <c r="C455" s="67"/>
      <c r="D455" s="68"/>
      <c r="E455" s="69"/>
      <c r="F455" s="70"/>
      <c r="G455" s="67"/>
      <c r="H455" s="71"/>
      <c r="I455" s="72"/>
      <c r="J455" s="72"/>
      <c r="K455" s="35"/>
      <c r="L455" s="80">
        <v>455</v>
      </c>
      <c r="M455" s="80"/>
      <c r="N455" s="74"/>
      <c r="O455" s="82" t="s">
        <v>909</v>
      </c>
      <c r="P455" s="82" t="s">
        <v>197</v>
      </c>
      <c r="Q455" s="85" t="s">
        <v>1361</v>
      </c>
      <c r="R455" s="82" t="s">
        <v>622</v>
      </c>
      <c r="S455" s="82" t="s">
        <v>2088</v>
      </c>
      <c r="T455" s="87" t="str">
        <f>HYPERLINK("http://www.youtube.com/channel/UC6Iks4Ylg1S-9mFZPI9ra8w")</f>
        <v>http://www.youtube.com/channel/UC6Iks4Ylg1S-9mFZPI9ra8w</v>
      </c>
      <c r="U455" s="82"/>
      <c r="V455" s="82" t="s">
        <v>2373</v>
      </c>
      <c r="W455" s="87" t="str">
        <f aca="true" t="shared" si="19" ref="W455:W481">HYPERLINK("https://www.youtube.com/watch?v=za6dE5JrNB0")</f>
        <v>https://www.youtube.com/watch?v=za6dE5JrNB0</v>
      </c>
      <c r="X455" s="82" t="s">
        <v>2384</v>
      </c>
      <c r="Y455" s="82">
        <v>0</v>
      </c>
      <c r="Z455" s="89">
        <v>44981.17259259259</v>
      </c>
      <c r="AA455" s="89">
        <v>44981.17259259259</v>
      </c>
      <c r="AB455" s="82"/>
      <c r="AC455" s="82"/>
      <c r="AD455" s="85" t="s">
        <v>2423</v>
      </c>
      <c r="AE455" s="84" t="str">
        <f>REPLACE(INDEX(GroupVertices[Group],MATCH("~"&amp;Edges[[#This Row],[Vertex 1]],GroupVertices[Vertex],0)),1,1,"")</f>
        <v>2</v>
      </c>
      <c r="AF455" s="84" t="str">
        <f>REPLACE(INDEX(GroupVertices[Group],MATCH("~"&amp;Edges[[#This Row],[Vertex 2]],GroupVertices[Vertex],0)),1,1,"")</f>
        <v>2</v>
      </c>
    </row>
    <row r="456" spans="1:32" ht="15">
      <c r="A456" s="66" t="s">
        <v>623</v>
      </c>
      <c r="B456" s="66" t="s">
        <v>905</v>
      </c>
      <c r="C456" s="67"/>
      <c r="D456" s="68"/>
      <c r="E456" s="69"/>
      <c r="F456" s="70"/>
      <c r="G456" s="67"/>
      <c r="H456" s="71"/>
      <c r="I456" s="72"/>
      <c r="J456" s="72"/>
      <c r="K456" s="35"/>
      <c r="L456" s="80">
        <v>456</v>
      </c>
      <c r="M456" s="80"/>
      <c r="N456" s="74"/>
      <c r="O456" s="82" t="s">
        <v>909</v>
      </c>
      <c r="P456" s="82" t="s">
        <v>197</v>
      </c>
      <c r="Q456" s="85" t="s">
        <v>1362</v>
      </c>
      <c r="R456" s="82" t="s">
        <v>623</v>
      </c>
      <c r="S456" s="82" t="s">
        <v>2089</v>
      </c>
      <c r="T456" s="87" t="str">
        <f>HYPERLINK("http://www.youtube.com/channel/UCnpdZOZW815SaU4BKlSwXhQ")</f>
        <v>http://www.youtube.com/channel/UCnpdZOZW815SaU4BKlSwXhQ</v>
      </c>
      <c r="U456" s="82"/>
      <c r="V456" s="82" t="s">
        <v>2373</v>
      </c>
      <c r="W456" s="87" t="str">
        <f t="shared" si="19"/>
        <v>https://www.youtube.com/watch?v=za6dE5JrNB0</v>
      </c>
      <c r="X456" s="82" t="s">
        <v>2384</v>
      </c>
      <c r="Y456" s="82">
        <v>0</v>
      </c>
      <c r="Z456" s="89">
        <v>44981.23434027778</v>
      </c>
      <c r="AA456" s="89">
        <v>44981.23434027778</v>
      </c>
      <c r="AB456" s="82"/>
      <c r="AC456" s="82"/>
      <c r="AD456" s="85" t="s">
        <v>2423</v>
      </c>
      <c r="AE456" s="84" t="str">
        <f>REPLACE(INDEX(GroupVertices[Group],MATCH("~"&amp;Edges[[#This Row],[Vertex 1]],GroupVertices[Vertex],0)),1,1,"")</f>
        <v>2</v>
      </c>
      <c r="AF456" s="84" t="str">
        <f>REPLACE(INDEX(GroupVertices[Group],MATCH("~"&amp;Edges[[#This Row],[Vertex 2]],GroupVertices[Vertex],0)),1,1,"")</f>
        <v>2</v>
      </c>
    </row>
    <row r="457" spans="1:32" ht="15">
      <c r="A457" s="66" t="s">
        <v>624</v>
      </c>
      <c r="B457" s="66" t="s">
        <v>905</v>
      </c>
      <c r="C457" s="67"/>
      <c r="D457" s="68"/>
      <c r="E457" s="69"/>
      <c r="F457" s="70"/>
      <c r="G457" s="67"/>
      <c r="H457" s="71"/>
      <c r="I457" s="72"/>
      <c r="J457" s="72"/>
      <c r="K457" s="35"/>
      <c r="L457" s="80">
        <v>457</v>
      </c>
      <c r="M457" s="80"/>
      <c r="N457" s="74"/>
      <c r="O457" s="82" t="s">
        <v>909</v>
      </c>
      <c r="P457" s="82" t="s">
        <v>197</v>
      </c>
      <c r="Q457" s="85" t="s">
        <v>1363</v>
      </c>
      <c r="R457" s="82" t="s">
        <v>624</v>
      </c>
      <c r="S457" s="82" t="s">
        <v>2090</v>
      </c>
      <c r="T457" s="87" t="str">
        <f>HYPERLINK("http://www.youtube.com/channel/UCa0r7tFlfbWnvSRd2RiZ6cw")</f>
        <v>http://www.youtube.com/channel/UCa0r7tFlfbWnvSRd2RiZ6cw</v>
      </c>
      <c r="U457" s="82"/>
      <c r="V457" s="82" t="s">
        <v>2373</v>
      </c>
      <c r="W457" s="87" t="str">
        <f t="shared" si="19"/>
        <v>https://www.youtube.com/watch?v=za6dE5JrNB0</v>
      </c>
      <c r="X457" s="82" t="s">
        <v>2384</v>
      </c>
      <c r="Y457" s="82">
        <v>0</v>
      </c>
      <c r="Z457" s="89">
        <v>44981.94537037037</v>
      </c>
      <c r="AA457" s="89">
        <v>44981.95111111111</v>
      </c>
      <c r="AB457" s="82"/>
      <c r="AC457" s="82"/>
      <c r="AD457" s="85" t="s">
        <v>2423</v>
      </c>
      <c r="AE457" s="84" t="str">
        <f>REPLACE(INDEX(GroupVertices[Group],MATCH("~"&amp;Edges[[#This Row],[Vertex 1]],GroupVertices[Vertex],0)),1,1,"")</f>
        <v>2</v>
      </c>
      <c r="AF457" s="84" t="str">
        <f>REPLACE(INDEX(GroupVertices[Group],MATCH("~"&amp;Edges[[#This Row],[Vertex 2]],GroupVertices[Vertex],0)),1,1,"")</f>
        <v>2</v>
      </c>
    </row>
    <row r="458" spans="1:32" ht="15">
      <c r="A458" s="66" t="s">
        <v>625</v>
      </c>
      <c r="B458" s="66" t="s">
        <v>905</v>
      </c>
      <c r="C458" s="67"/>
      <c r="D458" s="68"/>
      <c r="E458" s="69"/>
      <c r="F458" s="70"/>
      <c r="G458" s="67"/>
      <c r="H458" s="71"/>
      <c r="I458" s="72"/>
      <c r="J458" s="72"/>
      <c r="K458" s="35"/>
      <c r="L458" s="80">
        <v>458</v>
      </c>
      <c r="M458" s="80"/>
      <c r="N458" s="74"/>
      <c r="O458" s="82" t="s">
        <v>909</v>
      </c>
      <c r="P458" s="82" t="s">
        <v>197</v>
      </c>
      <c r="Q458" s="85" t="s">
        <v>1364</v>
      </c>
      <c r="R458" s="82" t="s">
        <v>625</v>
      </c>
      <c r="S458" s="82" t="s">
        <v>2091</v>
      </c>
      <c r="T458" s="87" t="str">
        <f>HYPERLINK("http://www.youtube.com/channel/UCS0RJzz88eKNLiR6WE21Qvw")</f>
        <v>http://www.youtube.com/channel/UCS0RJzz88eKNLiR6WE21Qvw</v>
      </c>
      <c r="U458" s="82"/>
      <c r="V458" s="82" t="s">
        <v>2373</v>
      </c>
      <c r="W458" s="87" t="str">
        <f t="shared" si="19"/>
        <v>https://www.youtube.com/watch?v=za6dE5JrNB0</v>
      </c>
      <c r="X458" s="82" t="s">
        <v>2384</v>
      </c>
      <c r="Y458" s="82">
        <v>1</v>
      </c>
      <c r="Z458" s="89">
        <v>44982.054189814815</v>
      </c>
      <c r="AA458" s="89">
        <v>44982.054189814815</v>
      </c>
      <c r="AB458" s="82"/>
      <c r="AC458" s="82"/>
      <c r="AD458" s="85" t="s">
        <v>2423</v>
      </c>
      <c r="AE458" s="84" t="str">
        <f>REPLACE(INDEX(GroupVertices[Group],MATCH("~"&amp;Edges[[#This Row],[Vertex 1]],GroupVertices[Vertex],0)),1,1,"")</f>
        <v>2</v>
      </c>
      <c r="AF458" s="84" t="str">
        <f>REPLACE(INDEX(GroupVertices[Group],MATCH("~"&amp;Edges[[#This Row],[Vertex 2]],GroupVertices[Vertex],0)),1,1,"")</f>
        <v>2</v>
      </c>
    </row>
    <row r="459" spans="1:32" ht="15">
      <c r="A459" s="66" t="s">
        <v>626</v>
      </c>
      <c r="B459" s="66" t="s">
        <v>905</v>
      </c>
      <c r="C459" s="67"/>
      <c r="D459" s="68"/>
      <c r="E459" s="69"/>
      <c r="F459" s="70"/>
      <c r="G459" s="67"/>
      <c r="H459" s="71"/>
      <c r="I459" s="72"/>
      <c r="J459" s="72"/>
      <c r="K459" s="35"/>
      <c r="L459" s="80">
        <v>459</v>
      </c>
      <c r="M459" s="80"/>
      <c r="N459" s="74"/>
      <c r="O459" s="82" t="s">
        <v>909</v>
      </c>
      <c r="P459" s="82" t="s">
        <v>197</v>
      </c>
      <c r="Q459" s="85" t="s">
        <v>1365</v>
      </c>
      <c r="R459" s="82" t="s">
        <v>626</v>
      </c>
      <c r="S459" s="82" t="s">
        <v>2092</v>
      </c>
      <c r="T459" s="87" t="str">
        <f>HYPERLINK("http://www.youtube.com/channel/UCSRhOpdGhuZD14fGj6l-XhQ")</f>
        <v>http://www.youtube.com/channel/UCSRhOpdGhuZD14fGj6l-XhQ</v>
      </c>
      <c r="U459" s="82"/>
      <c r="V459" s="82" t="s">
        <v>2373</v>
      </c>
      <c r="W459" s="87" t="str">
        <f t="shared" si="19"/>
        <v>https://www.youtube.com/watch?v=za6dE5JrNB0</v>
      </c>
      <c r="X459" s="82" t="s">
        <v>2384</v>
      </c>
      <c r="Y459" s="82">
        <v>0</v>
      </c>
      <c r="Z459" s="89">
        <v>44982.196238425924</v>
      </c>
      <c r="AA459" s="89">
        <v>44982.196238425924</v>
      </c>
      <c r="AB459" s="82"/>
      <c r="AC459" s="82"/>
      <c r="AD459" s="85" t="s">
        <v>2423</v>
      </c>
      <c r="AE459" s="84" t="str">
        <f>REPLACE(INDEX(GroupVertices[Group],MATCH("~"&amp;Edges[[#This Row],[Vertex 1]],GroupVertices[Vertex],0)),1,1,"")</f>
        <v>2</v>
      </c>
      <c r="AF459" s="84" t="str">
        <f>REPLACE(INDEX(GroupVertices[Group],MATCH("~"&amp;Edges[[#This Row],[Vertex 2]],GroupVertices[Vertex],0)),1,1,"")</f>
        <v>2</v>
      </c>
    </row>
    <row r="460" spans="1:32" ht="15">
      <c r="A460" s="66" t="s">
        <v>627</v>
      </c>
      <c r="B460" s="66" t="s">
        <v>905</v>
      </c>
      <c r="C460" s="67"/>
      <c r="D460" s="68"/>
      <c r="E460" s="69"/>
      <c r="F460" s="70"/>
      <c r="G460" s="67"/>
      <c r="H460" s="71"/>
      <c r="I460" s="72"/>
      <c r="J460" s="72"/>
      <c r="K460" s="35"/>
      <c r="L460" s="80">
        <v>460</v>
      </c>
      <c r="M460" s="80"/>
      <c r="N460" s="74"/>
      <c r="O460" s="82" t="s">
        <v>909</v>
      </c>
      <c r="P460" s="82" t="s">
        <v>197</v>
      </c>
      <c r="Q460" s="85" t="s">
        <v>1366</v>
      </c>
      <c r="R460" s="82" t="s">
        <v>627</v>
      </c>
      <c r="S460" s="82" t="s">
        <v>2093</v>
      </c>
      <c r="T460" s="87" t="str">
        <f>HYPERLINK("http://www.youtube.com/channel/UC4wZ20awGSRVJZCkQZ9UP3g")</f>
        <v>http://www.youtube.com/channel/UC4wZ20awGSRVJZCkQZ9UP3g</v>
      </c>
      <c r="U460" s="82"/>
      <c r="V460" s="82" t="s">
        <v>2373</v>
      </c>
      <c r="W460" s="87" t="str">
        <f t="shared" si="19"/>
        <v>https://www.youtube.com/watch?v=za6dE5JrNB0</v>
      </c>
      <c r="X460" s="82" t="s">
        <v>2384</v>
      </c>
      <c r="Y460" s="82">
        <v>0</v>
      </c>
      <c r="Z460" s="89">
        <v>44982.25017361111</v>
      </c>
      <c r="AA460" s="89">
        <v>44982.25017361111</v>
      </c>
      <c r="AB460" s="82"/>
      <c r="AC460" s="82"/>
      <c r="AD460" s="85" t="s">
        <v>2423</v>
      </c>
      <c r="AE460" s="84" t="str">
        <f>REPLACE(INDEX(GroupVertices[Group],MATCH("~"&amp;Edges[[#This Row],[Vertex 1]],GroupVertices[Vertex],0)),1,1,"")</f>
        <v>2</v>
      </c>
      <c r="AF460" s="84" t="str">
        <f>REPLACE(INDEX(GroupVertices[Group],MATCH("~"&amp;Edges[[#This Row],[Vertex 2]],GroupVertices[Vertex],0)),1,1,"")</f>
        <v>2</v>
      </c>
    </row>
    <row r="461" spans="1:32" ht="15">
      <c r="A461" s="66" t="s">
        <v>628</v>
      </c>
      <c r="B461" s="66" t="s">
        <v>905</v>
      </c>
      <c r="C461" s="67"/>
      <c r="D461" s="68"/>
      <c r="E461" s="69"/>
      <c r="F461" s="70"/>
      <c r="G461" s="67"/>
      <c r="H461" s="71"/>
      <c r="I461" s="72"/>
      <c r="J461" s="72"/>
      <c r="K461" s="35"/>
      <c r="L461" s="80">
        <v>461</v>
      </c>
      <c r="M461" s="80"/>
      <c r="N461" s="74"/>
      <c r="O461" s="82" t="s">
        <v>909</v>
      </c>
      <c r="P461" s="82" t="s">
        <v>197</v>
      </c>
      <c r="Q461" s="85" t="s">
        <v>1367</v>
      </c>
      <c r="R461" s="82" t="s">
        <v>628</v>
      </c>
      <c r="S461" s="82" t="s">
        <v>2094</v>
      </c>
      <c r="T461" s="87" t="str">
        <f>HYPERLINK("http://www.youtube.com/channel/UCT22z_uh53YLOXKgyLeM8rw")</f>
        <v>http://www.youtube.com/channel/UCT22z_uh53YLOXKgyLeM8rw</v>
      </c>
      <c r="U461" s="82"/>
      <c r="V461" s="82" t="s">
        <v>2373</v>
      </c>
      <c r="W461" s="87" t="str">
        <f t="shared" si="19"/>
        <v>https://www.youtube.com/watch?v=za6dE5JrNB0</v>
      </c>
      <c r="X461" s="82" t="s">
        <v>2384</v>
      </c>
      <c r="Y461" s="82">
        <v>0</v>
      </c>
      <c r="Z461" s="89">
        <v>44982.28293981482</v>
      </c>
      <c r="AA461" s="89">
        <v>44982.28293981482</v>
      </c>
      <c r="AB461" s="82"/>
      <c r="AC461" s="82"/>
      <c r="AD461" s="85" t="s">
        <v>2423</v>
      </c>
      <c r="AE461" s="84" t="str">
        <f>REPLACE(INDEX(GroupVertices[Group],MATCH("~"&amp;Edges[[#This Row],[Vertex 1]],GroupVertices[Vertex],0)),1,1,"")</f>
        <v>2</v>
      </c>
      <c r="AF461" s="84" t="str">
        <f>REPLACE(INDEX(GroupVertices[Group],MATCH("~"&amp;Edges[[#This Row],[Vertex 2]],GroupVertices[Vertex],0)),1,1,"")</f>
        <v>2</v>
      </c>
    </row>
    <row r="462" spans="1:32" ht="15">
      <c r="A462" s="66" t="s">
        <v>629</v>
      </c>
      <c r="B462" s="66" t="s">
        <v>905</v>
      </c>
      <c r="C462" s="67"/>
      <c r="D462" s="68"/>
      <c r="E462" s="69"/>
      <c r="F462" s="70"/>
      <c r="G462" s="67"/>
      <c r="H462" s="71"/>
      <c r="I462" s="72"/>
      <c r="J462" s="72"/>
      <c r="K462" s="35"/>
      <c r="L462" s="80">
        <v>462</v>
      </c>
      <c r="M462" s="80"/>
      <c r="N462" s="74"/>
      <c r="O462" s="82" t="s">
        <v>909</v>
      </c>
      <c r="P462" s="82" t="s">
        <v>197</v>
      </c>
      <c r="Q462" s="85" t="s">
        <v>1368</v>
      </c>
      <c r="R462" s="82" t="s">
        <v>629</v>
      </c>
      <c r="S462" s="82" t="s">
        <v>2095</v>
      </c>
      <c r="T462" s="87" t="str">
        <f>HYPERLINK("http://www.youtube.com/channel/UC21EX62-Ofs2gg9aG5v7E7w")</f>
        <v>http://www.youtube.com/channel/UC21EX62-Ofs2gg9aG5v7E7w</v>
      </c>
      <c r="U462" s="82"/>
      <c r="V462" s="82" t="s">
        <v>2373</v>
      </c>
      <c r="W462" s="87" t="str">
        <f t="shared" si="19"/>
        <v>https://www.youtube.com/watch?v=za6dE5JrNB0</v>
      </c>
      <c r="X462" s="82" t="s">
        <v>2384</v>
      </c>
      <c r="Y462" s="82">
        <v>0</v>
      </c>
      <c r="Z462" s="89">
        <v>44983.10015046296</v>
      </c>
      <c r="AA462" s="89">
        <v>44983.10015046296</v>
      </c>
      <c r="AB462" s="82"/>
      <c r="AC462" s="82"/>
      <c r="AD462" s="85" t="s">
        <v>2423</v>
      </c>
      <c r="AE462" s="84" t="str">
        <f>REPLACE(INDEX(GroupVertices[Group],MATCH("~"&amp;Edges[[#This Row],[Vertex 1]],GroupVertices[Vertex],0)),1,1,"")</f>
        <v>2</v>
      </c>
      <c r="AF462" s="84" t="str">
        <f>REPLACE(INDEX(GroupVertices[Group],MATCH("~"&amp;Edges[[#This Row],[Vertex 2]],GroupVertices[Vertex],0)),1,1,"")</f>
        <v>2</v>
      </c>
    </row>
    <row r="463" spans="1:32" ht="15">
      <c r="A463" s="66" t="s">
        <v>630</v>
      </c>
      <c r="B463" s="66" t="s">
        <v>905</v>
      </c>
      <c r="C463" s="67"/>
      <c r="D463" s="68"/>
      <c r="E463" s="69"/>
      <c r="F463" s="70"/>
      <c r="G463" s="67"/>
      <c r="H463" s="71"/>
      <c r="I463" s="72"/>
      <c r="J463" s="72"/>
      <c r="K463" s="35"/>
      <c r="L463" s="80">
        <v>463</v>
      </c>
      <c r="M463" s="80"/>
      <c r="N463" s="74"/>
      <c r="O463" s="82" t="s">
        <v>909</v>
      </c>
      <c r="P463" s="82" t="s">
        <v>197</v>
      </c>
      <c r="Q463" s="85" t="s">
        <v>1369</v>
      </c>
      <c r="R463" s="82" t="s">
        <v>630</v>
      </c>
      <c r="S463" s="82" t="s">
        <v>2096</v>
      </c>
      <c r="T463" s="87" t="str">
        <f>HYPERLINK("http://www.youtube.com/channel/UCT_iKNxU_yjtVrY1GT8ioWA")</f>
        <v>http://www.youtube.com/channel/UCT_iKNxU_yjtVrY1GT8ioWA</v>
      </c>
      <c r="U463" s="82"/>
      <c r="V463" s="82" t="s">
        <v>2373</v>
      </c>
      <c r="W463" s="87" t="str">
        <f t="shared" si="19"/>
        <v>https://www.youtube.com/watch?v=za6dE5JrNB0</v>
      </c>
      <c r="X463" s="82" t="s">
        <v>2384</v>
      </c>
      <c r="Y463" s="82">
        <v>0</v>
      </c>
      <c r="Z463" s="89">
        <v>44983.44196759259</v>
      </c>
      <c r="AA463" s="89">
        <v>44983.47375</v>
      </c>
      <c r="AB463" s="82"/>
      <c r="AC463" s="82"/>
      <c r="AD463" s="85" t="s">
        <v>2423</v>
      </c>
      <c r="AE463" s="84" t="str">
        <f>REPLACE(INDEX(GroupVertices[Group],MATCH("~"&amp;Edges[[#This Row],[Vertex 1]],GroupVertices[Vertex],0)),1,1,"")</f>
        <v>2</v>
      </c>
      <c r="AF463" s="84" t="str">
        <f>REPLACE(INDEX(GroupVertices[Group],MATCH("~"&amp;Edges[[#This Row],[Vertex 2]],GroupVertices[Vertex],0)),1,1,"")</f>
        <v>2</v>
      </c>
    </row>
    <row r="464" spans="1:32" ht="15">
      <c r="A464" s="66" t="s">
        <v>631</v>
      </c>
      <c r="B464" s="66" t="s">
        <v>905</v>
      </c>
      <c r="C464" s="67"/>
      <c r="D464" s="68"/>
      <c r="E464" s="69"/>
      <c r="F464" s="70"/>
      <c r="G464" s="67"/>
      <c r="H464" s="71"/>
      <c r="I464" s="72"/>
      <c r="J464" s="72"/>
      <c r="K464" s="35"/>
      <c r="L464" s="80">
        <v>464</v>
      </c>
      <c r="M464" s="80"/>
      <c r="N464" s="74"/>
      <c r="O464" s="82" t="s">
        <v>909</v>
      </c>
      <c r="P464" s="82" t="s">
        <v>197</v>
      </c>
      <c r="Q464" s="85" t="s">
        <v>1370</v>
      </c>
      <c r="R464" s="82" t="s">
        <v>631</v>
      </c>
      <c r="S464" s="82" t="s">
        <v>2097</v>
      </c>
      <c r="T464" s="87" t="str">
        <f>HYPERLINK("http://www.youtube.com/channel/UC56xesm00-ZR26cn8HZJjjg")</f>
        <v>http://www.youtube.com/channel/UC56xesm00-ZR26cn8HZJjjg</v>
      </c>
      <c r="U464" s="82"/>
      <c r="V464" s="82" t="s">
        <v>2373</v>
      </c>
      <c r="W464" s="87" t="str">
        <f t="shared" si="19"/>
        <v>https://www.youtube.com/watch?v=za6dE5JrNB0</v>
      </c>
      <c r="X464" s="82" t="s">
        <v>2384</v>
      </c>
      <c r="Y464" s="82">
        <v>0</v>
      </c>
      <c r="Z464" s="89">
        <v>44984.017905092594</v>
      </c>
      <c r="AA464" s="89">
        <v>44984.017905092594</v>
      </c>
      <c r="AB464" s="82"/>
      <c r="AC464" s="82"/>
      <c r="AD464" s="85" t="s">
        <v>2423</v>
      </c>
      <c r="AE464" s="84" t="str">
        <f>REPLACE(INDEX(GroupVertices[Group],MATCH("~"&amp;Edges[[#This Row],[Vertex 1]],GroupVertices[Vertex],0)),1,1,"")</f>
        <v>2</v>
      </c>
      <c r="AF464" s="84" t="str">
        <f>REPLACE(INDEX(GroupVertices[Group],MATCH("~"&amp;Edges[[#This Row],[Vertex 2]],GroupVertices[Vertex],0)),1,1,"")</f>
        <v>2</v>
      </c>
    </row>
    <row r="465" spans="1:32" ht="15">
      <c r="A465" s="66" t="s">
        <v>632</v>
      </c>
      <c r="B465" s="66" t="s">
        <v>905</v>
      </c>
      <c r="C465" s="67"/>
      <c r="D465" s="68"/>
      <c r="E465" s="69"/>
      <c r="F465" s="70"/>
      <c r="G465" s="67"/>
      <c r="H465" s="71"/>
      <c r="I465" s="72"/>
      <c r="J465" s="72"/>
      <c r="K465" s="35"/>
      <c r="L465" s="80">
        <v>465</v>
      </c>
      <c r="M465" s="80"/>
      <c r="N465" s="74"/>
      <c r="O465" s="82" t="s">
        <v>909</v>
      </c>
      <c r="P465" s="82" t="s">
        <v>197</v>
      </c>
      <c r="Q465" s="85" t="s">
        <v>1371</v>
      </c>
      <c r="R465" s="82" t="s">
        <v>632</v>
      </c>
      <c r="S465" s="82" t="s">
        <v>2098</v>
      </c>
      <c r="T465" s="87" t="str">
        <f>HYPERLINK("http://www.youtube.com/channel/UC49ES6lI9ZMGHCA-Vvvp2Kw")</f>
        <v>http://www.youtube.com/channel/UC49ES6lI9ZMGHCA-Vvvp2Kw</v>
      </c>
      <c r="U465" s="82"/>
      <c r="V465" s="82" t="s">
        <v>2373</v>
      </c>
      <c r="W465" s="87" t="str">
        <f t="shared" si="19"/>
        <v>https://www.youtube.com/watch?v=za6dE5JrNB0</v>
      </c>
      <c r="X465" s="82" t="s">
        <v>2384</v>
      </c>
      <c r="Y465" s="82">
        <v>0</v>
      </c>
      <c r="Z465" s="89">
        <v>44984.02679398148</v>
      </c>
      <c r="AA465" s="89">
        <v>44984.02679398148</v>
      </c>
      <c r="AB465" s="82"/>
      <c r="AC465" s="82"/>
      <c r="AD465" s="85" t="s">
        <v>2423</v>
      </c>
      <c r="AE465" s="84" t="str">
        <f>REPLACE(INDEX(GroupVertices[Group],MATCH("~"&amp;Edges[[#This Row],[Vertex 1]],GroupVertices[Vertex],0)),1,1,"")</f>
        <v>2</v>
      </c>
      <c r="AF465" s="84" t="str">
        <f>REPLACE(INDEX(GroupVertices[Group],MATCH("~"&amp;Edges[[#This Row],[Vertex 2]],GroupVertices[Vertex],0)),1,1,"")</f>
        <v>2</v>
      </c>
    </row>
    <row r="466" spans="1:32" ht="15">
      <c r="A466" s="66" t="s">
        <v>633</v>
      </c>
      <c r="B466" s="66" t="s">
        <v>905</v>
      </c>
      <c r="C466" s="67"/>
      <c r="D466" s="68"/>
      <c r="E466" s="69"/>
      <c r="F466" s="70"/>
      <c r="G466" s="67"/>
      <c r="H466" s="71"/>
      <c r="I466" s="72"/>
      <c r="J466" s="72"/>
      <c r="K466" s="35"/>
      <c r="L466" s="80">
        <v>466</v>
      </c>
      <c r="M466" s="80"/>
      <c r="N466" s="74"/>
      <c r="O466" s="82" t="s">
        <v>909</v>
      </c>
      <c r="P466" s="82" t="s">
        <v>197</v>
      </c>
      <c r="Q466" s="85" t="s">
        <v>1372</v>
      </c>
      <c r="R466" s="82" t="s">
        <v>633</v>
      </c>
      <c r="S466" s="82" t="s">
        <v>2099</v>
      </c>
      <c r="T466" s="87" t="str">
        <f>HYPERLINK("http://www.youtube.com/channel/UCQsKR3yFOTdK5IvI4MtLBRA")</f>
        <v>http://www.youtube.com/channel/UCQsKR3yFOTdK5IvI4MtLBRA</v>
      </c>
      <c r="U466" s="82"/>
      <c r="V466" s="82" t="s">
        <v>2373</v>
      </c>
      <c r="W466" s="87" t="str">
        <f t="shared" si="19"/>
        <v>https://www.youtube.com/watch?v=za6dE5JrNB0</v>
      </c>
      <c r="X466" s="82" t="s">
        <v>2384</v>
      </c>
      <c r="Y466" s="82">
        <v>0</v>
      </c>
      <c r="Z466" s="89">
        <v>44984.31979166667</v>
      </c>
      <c r="AA466" s="89">
        <v>44984.31979166667</v>
      </c>
      <c r="AB466" s="82"/>
      <c r="AC466" s="82"/>
      <c r="AD466" s="85" t="s">
        <v>2423</v>
      </c>
      <c r="AE466" s="84" t="str">
        <f>REPLACE(INDEX(GroupVertices[Group],MATCH("~"&amp;Edges[[#This Row],[Vertex 1]],GroupVertices[Vertex],0)),1,1,"")</f>
        <v>2</v>
      </c>
      <c r="AF466" s="84" t="str">
        <f>REPLACE(INDEX(GroupVertices[Group],MATCH("~"&amp;Edges[[#This Row],[Vertex 2]],GroupVertices[Vertex],0)),1,1,"")</f>
        <v>2</v>
      </c>
    </row>
    <row r="467" spans="1:32" ht="15">
      <c r="A467" s="66" t="s">
        <v>634</v>
      </c>
      <c r="B467" s="66" t="s">
        <v>905</v>
      </c>
      <c r="C467" s="67"/>
      <c r="D467" s="68"/>
      <c r="E467" s="69"/>
      <c r="F467" s="70"/>
      <c r="G467" s="67"/>
      <c r="H467" s="71"/>
      <c r="I467" s="72"/>
      <c r="J467" s="72"/>
      <c r="K467" s="35"/>
      <c r="L467" s="80">
        <v>467</v>
      </c>
      <c r="M467" s="80"/>
      <c r="N467" s="74"/>
      <c r="O467" s="82" t="s">
        <v>909</v>
      </c>
      <c r="P467" s="82" t="s">
        <v>197</v>
      </c>
      <c r="Q467" s="85" t="s">
        <v>1373</v>
      </c>
      <c r="R467" s="82" t="s">
        <v>634</v>
      </c>
      <c r="S467" s="82" t="s">
        <v>2100</v>
      </c>
      <c r="T467" s="87" t="str">
        <f>HYPERLINK("http://www.youtube.com/channel/UC5u6LI25HEtIyHkMCvec4ZQ")</f>
        <v>http://www.youtube.com/channel/UC5u6LI25HEtIyHkMCvec4ZQ</v>
      </c>
      <c r="U467" s="82"/>
      <c r="V467" s="82" t="s">
        <v>2373</v>
      </c>
      <c r="W467" s="87" t="str">
        <f t="shared" si="19"/>
        <v>https://www.youtube.com/watch?v=za6dE5JrNB0</v>
      </c>
      <c r="X467" s="82" t="s">
        <v>2384</v>
      </c>
      <c r="Y467" s="82">
        <v>0</v>
      </c>
      <c r="Z467" s="89">
        <v>44985.32616898148</v>
      </c>
      <c r="AA467" s="89">
        <v>44985.33295138889</v>
      </c>
      <c r="AB467" s="82"/>
      <c r="AC467" s="82"/>
      <c r="AD467" s="85" t="s">
        <v>2423</v>
      </c>
      <c r="AE467" s="84" t="str">
        <f>REPLACE(INDEX(GroupVertices[Group],MATCH("~"&amp;Edges[[#This Row],[Vertex 1]],GroupVertices[Vertex],0)),1,1,"")</f>
        <v>2</v>
      </c>
      <c r="AF467" s="84" t="str">
        <f>REPLACE(INDEX(GroupVertices[Group],MATCH("~"&amp;Edges[[#This Row],[Vertex 2]],GroupVertices[Vertex],0)),1,1,"")</f>
        <v>2</v>
      </c>
    </row>
    <row r="468" spans="1:32" ht="15">
      <c r="A468" s="66" t="s">
        <v>635</v>
      </c>
      <c r="B468" s="66" t="s">
        <v>905</v>
      </c>
      <c r="C468" s="67"/>
      <c r="D468" s="68"/>
      <c r="E468" s="69"/>
      <c r="F468" s="70"/>
      <c r="G468" s="67"/>
      <c r="H468" s="71"/>
      <c r="I468" s="72"/>
      <c r="J468" s="72"/>
      <c r="K468" s="35"/>
      <c r="L468" s="80">
        <v>468</v>
      </c>
      <c r="M468" s="80"/>
      <c r="N468" s="74"/>
      <c r="O468" s="82" t="s">
        <v>909</v>
      </c>
      <c r="P468" s="82" t="s">
        <v>197</v>
      </c>
      <c r="Q468" s="85" t="s">
        <v>1374</v>
      </c>
      <c r="R468" s="82" t="s">
        <v>635</v>
      </c>
      <c r="S468" s="82" t="s">
        <v>2101</v>
      </c>
      <c r="T468" s="87" t="str">
        <f>HYPERLINK("http://www.youtube.com/channel/UCK2y5DvD9Te4bY_WVN5TYag")</f>
        <v>http://www.youtube.com/channel/UCK2y5DvD9Te4bY_WVN5TYag</v>
      </c>
      <c r="U468" s="82"/>
      <c r="V468" s="82" t="s">
        <v>2373</v>
      </c>
      <c r="W468" s="87" t="str">
        <f t="shared" si="19"/>
        <v>https://www.youtube.com/watch?v=za6dE5JrNB0</v>
      </c>
      <c r="X468" s="82" t="s">
        <v>2384</v>
      </c>
      <c r="Y468" s="82">
        <v>0</v>
      </c>
      <c r="Z468" s="89">
        <v>44985.4744212963</v>
      </c>
      <c r="AA468" s="89">
        <v>44985.4744212963</v>
      </c>
      <c r="AB468" s="82"/>
      <c r="AC468" s="82"/>
      <c r="AD468" s="85" t="s">
        <v>2423</v>
      </c>
      <c r="AE468" s="84" t="str">
        <f>REPLACE(INDEX(GroupVertices[Group],MATCH("~"&amp;Edges[[#This Row],[Vertex 1]],GroupVertices[Vertex],0)),1,1,"")</f>
        <v>2</v>
      </c>
      <c r="AF468" s="84" t="str">
        <f>REPLACE(INDEX(GroupVertices[Group],MATCH("~"&amp;Edges[[#This Row],[Vertex 2]],GroupVertices[Vertex],0)),1,1,"")</f>
        <v>2</v>
      </c>
    </row>
    <row r="469" spans="1:32" ht="15">
      <c r="A469" s="66" t="s">
        <v>636</v>
      </c>
      <c r="B469" s="66" t="s">
        <v>905</v>
      </c>
      <c r="C469" s="67"/>
      <c r="D469" s="68"/>
      <c r="E469" s="69"/>
      <c r="F469" s="70"/>
      <c r="G469" s="67"/>
      <c r="H469" s="71"/>
      <c r="I469" s="72"/>
      <c r="J469" s="72"/>
      <c r="K469" s="35"/>
      <c r="L469" s="80">
        <v>469</v>
      </c>
      <c r="M469" s="80"/>
      <c r="N469" s="74"/>
      <c r="O469" s="82" t="s">
        <v>909</v>
      </c>
      <c r="P469" s="82" t="s">
        <v>197</v>
      </c>
      <c r="Q469" s="85" t="s">
        <v>1375</v>
      </c>
      <c r="R469" s="82" t="s">
        <v>636</v>
      </c>
      <c r="S469" s="82" t="s">
        <v>2102</v>
      </c>
      <c r="T469" s="87" t="str">
        <f>HYPERLINK("http://www.youtube.com/channel/UCl0Bb_okx8-AifR3CFSx3Og")</f>
        <v>http://www.youtube.com/channel/UCl0Bb_okx8-AifR3CFSx3Og</v>
      </c>
      <c r="U469" s="82"/>
      <c r="V469" s="82" t="s">
        <v>2373</v>
      </c>
      <c r="W469" s="87" t="str">
        <f t="shared" si="19"/>
        <v>https://www.youtube.com/watch?v=za6dE5JrNB0</v>
      </c>
      <c r="X469" s="82" t="s">
        <v>2384</v>
      </c>
      <c r="Y469" s="82">
        <v>0</v>
      </c>
      <c r="Z469" s="89">
        <v>44985.783125</v>
      </c>
      <c r="AA469" s="89">
        <v>44985.783125</v>
      </c>
      <c r="AB469" s="82"/>
      <c r="AC469" s="82"/>
      <c r="AD469" s="85" t="s">
        <v>2423</v>
      </c>
      <c r="AE469" s="84" t="str">
        <f>REPLACE(INDEX(GroupVertices[Group],MATCH("~"&amp;Edges[[#This Row],[Vertex 1]],GroupVertices[Vertex],0)),1,1,"")</f>
        <v>2</v>
      </c>
      <c r="AF469" s="84" t="str">
        <f>REPLACE(INDEX(GroupVertices[Group],MATCH("~"&amp;Edges[[#This Row],[Vertex 2]],GroupVertices[Vertex],0)),1,1,"")</f>
        <v>2</v>
      </c>
    </row>
    <row r="470" spans="1:32" ht="15">
      <c r="A470" s="66" t="s">
        <v>637</v>
      </c>
      <c r="B470" s="66" t="s">
        <v>905</v>
      </c>
      <c r="C470" s="67"/>
      <c r="D470" s="68"/>
      <c r="E470" s="69"/>
      <c r="F470" s="70"/>
      <c r="G470" s="67"/>
      <c r="H470" s="71"/>
      <c r="I470" s="72"/>
      <c r="J470" s="72"/>
      <c r="K470" s="35"/>
      <c r="L470" s="80">
        <v>470</v>
      </c>
      <c r="M470" s="80"/>
      <c r="N470" s="74"/>
      <c r="O470" s="82" t="s">
        <v>909</v>
      </c>
      <c r="P470" s="82" t="s">
        <v>197</v>
      </c>
      <c r="Q470" s="85" t="s">
        <v>1376</v>
      </c>
      <c r="R470" s="82" t="s">
        <v>637</v>
      </c>
      <c r="S470" s="82" t="s">
        <v>2103</v>
      </c>
      <c r="T470" s="87" t="str">
        <f>HYPERLINK("http://www.youtube.com/channel/UC9-zm0EDc4kGxPnktyZOxBw")</f>
        <v>http://www.youtube.com/channel/UC9-zm0EDc4kGxPnktyZOxBw</v>
      </c>
      <c r="U470" s="82"/>
      <c r="V470" s="82" t="s">
        <v>2373</v>
      </c>
      <c r="W470" s="87" t="str">
        <f t="shared" si="19"/>
        <v>https://www.youtube.com/watch?v=za6dE5JrNB0</v>
      </c>
      <c r="X470" s="82" t="s">
        <v>2384</v>
      </c>
      <c r="Y470" s="82">
        <v>0</v>
      </c>
      <c r="Z470" s="89">
        <v>44986.5225462963</v>
      </c>
      <c r="AA470" s="89">
        <v>44986.5225462963</v>
      </c>
      <c r="AB470" s="82"/>
      <c r="AC470" s="82"/>
      <c r="AD470" s="85" t="s">
        <v>2423</v>
      </c>
      <c r="AE470" s="84" t="str">
        <f>REPLACE(INDEX(GroupVertices[Group],MATCH("~"&amp;Edges[[#This Row],[Vertex 1]],GroupVertices[Vertex],0)),1,1,"")</f>
        <v>2</v>
      </c>
      <c r="AF470" s="84" t="str">
        <f>REPLACE(INDEX(GroupVertices[Group],MATCH("~"&amp;Edges[[#This Row],[Vertex 2]],GroupVertices[Vertex],0)),1,1,"")</f>
        <v>2</v>
      </c>
    </row>
    <row r="471" spans="1:32" ht="15">
      <c r="A471" s="66" t="s">
        <v>638</v>
      </c>
      <c r="B471" s="66" t="s">
        <v>905</v>
      </c>
      <c r="C471" s="67"/>
      <c r="D471" s="68"/>
      <c r="E471" s="69"/>
      <c r="F471" s="70"/>
      <c r="G471" s="67"/>
      <c r="H471" s="71"/>
      <c r="I471" s="72"/>
      <c r="J471" s="72"/>
      <c r="K471" s="35"/>
      <c r="L471" s="80">
        <v>471</v>
      </c>
      <c r="M471" s="80"/>
      <c r="N471" s="74"/>
      <c r="O471" s="82" t="s">
        <v>909</v>
      </c>
      <c r="P471" s="82" t="s">
        <v>197</v>
      </c>
      <c r="Q471" s="85" t="s">
        <v>1377</v>
      </c>
      <c r="R471" s="82" t="s">
        <v>638</v>
      </c>
      <c r="S471" s="82" t="s">
        <v>2104</v>
      </c>
      <c r="T471" s="87" t="str">
        <f>HYPERLINK("http://www.youtube.com/channel/UCn8u405OvtbjeKU0q-HF9Sg")</f>
        <v>http://www.youtube.com/channel/UCn8u405OvtbjeKU0q-HF9Sg</v>
      </c>
      <c r="U471" s="82"/>
      <c r="V471" s="82" t="s">
        <v>2373</v>
      </c>
      <c r="W471" s="87" t="str">
        <f t="shared" si="19"/>
        <v>https://www.youtube.com/watch?v=za6dE5JrNB0</v>
      </c>
      <c r="X471" s="82" t="s">
        <v>2384</v>
      </c>
      <c r="Y471" s="82">
        <v>0</v>
      </c>
      <c r="Z471" s="89">
        <v>44986.52885416667</v>
      </c>
      <c r="AA471" s="89">
        <v>44986.52885416667</v>
      </c>
      <c r="AB471" s="82"/>
      <c r="AC471" s="82"/>
      <c r="AD471" s="85" t="s">
        <v>2423</v>
      </c>
      <c r="AE471" s="84" t="str">
        <f>REPLACE(INDEX(GroupVertices[Group],MATCH("~"&amp;Edges[[#This Row],[Vertex 1]],GroupVertices[Vertex],0)),1,1,"")</f>
        <v>2</v>
      </c>
      <c r="AF471" s="84" t="str">
        <f>REPLACE(INDEX(GroupVertices[Group],MATCH("~"&amp;Edges[[#This Row],[Vertex 2]],GroupVertices[Vertex],0)),1,1,"")</f>
        <v>2</v>
      </c>
    </row>
    <row r="472" spans="1:32" ht="15">
      <c r="A472" s="66" t="s">
        <v>639</v>
      </c>
      <c r="B472" s="66" t="s">
        <v>905</v>
      </c>
      <c r="C472" s="67"/>
      <c r="D472" s="68"/>
      <c r="E472" s="69"/>
      <c r="F472" s="70"/>
      <c r="G472" s="67"/>
      <c r="H472" s="71"/>
      <c r="I472" s="72"/>
      <c r="J472" s="72"/>
      <c r="K472" s="35"/>
      <c r="L472" s="80">
        <v>472</v>
      </c>
      <c r="M472" s="80"/>
      <c r="N472" s="74"/>
      <c r="O472" s="82" t="s">
        <v>909</v>
      </c>
      <c r="P472" s="82" t="s">
        <v>197</v>
      </c>
      <c r="Q472" s="85" t="s">
        <v>1378</v>
      </c>
      <c r="R472" s="82" t="s">
        <v>639</v>
      </c>
      <c r="S472" s="82" t="s">
        <v>2105</v>
      </c>
      <c r="T472" s="87" t="str">
        <f>HYPERLINK("http://www.youtube.com/channel/UCszmpTvc3wAo4VAHtZwjKLQ")</f>
        <v>http://www.youtube.com/channel/UCszmpTvc3wAo4VAHtZwjKLQ</v>
      </c>
      <c r="U472" s="82"/>
      <c r="V472" s="82" t="s">
        <v>2373</v>
      </c>
      <c r="W472" s="87" t="str">
        <f t="shared" si="19"/>
        <v>https://www.youtube.com/watch?v=za6dE5JrNB0</v>
      </c>
      <c r="X472" s="82" t="s">
        <v>2384</v>
      </c>
      <c r="Y472" s="82">
        <v>0</v>
      </c>
      <c r="Z472" s="89">
        <v>44986.6874537037</v>
      </c>
      <c r="AA472" s="89">
        <v>44986.6874537037</v>
      </c>
      <c r="AB472" s="82"/>
      <c r="AC472" s="82"/>
      <c r="AD472" s="85" t="s">
        <v>2423</v>
      </c>
      <c r="AE472" s="84" t="str">
        <f>REPLACE(INDEX(GroupVertices[Group],MATCH("~"&amp;Edges[[#This Row],[Vertex 1]],GroupVertices[Vertex],0)),1,1,"")</f>
        <v>2</v>
      </c>
      <c r="AF472" s="84" t="str">
        <f>REPLACE(INDEX(GroupVertices[Group],MATCH("~"&amp;Edges[[#This Row],[Vertex 2]],GroupVertices[Vertex],0)),1,1,"")</f>
        <v>2</v>
      </c>
    </row>
    <row r="473" spans="1:32" ht="15">
      <c r="A473" s="66" t="s">
        <v>640</v>
      </c>
      <c r="B473" s="66" t="s">
        <v>905</v>
      </c>
      <c r="C473" s="67"/>
      <c r="D473" s="68"/>
      <c r="E473" s="69"/>
      <c r="F473" s="70"/>
      <c r="G473" s="67"/>
      <c r="H473" s="71"/>
      <c r="I473" s="72"/>
      <c r="J473" s="72"/>
      <c r="K473" s="35"/>
      <c r="L473" s="80">
        <v>473</v>
      </c>
      <c r="M473" s="80"/>
      <c r="N473" s="74"/>
      <c r="O473" s="82" t="s">
        <v>909</v>
      </c>
      <c r="P473" s="82" t="s">
        <v>197</v>
      </c>
      <c r="Q473" s="85" t="s">
        <v>1379</v>
      </c>
      <c r="R473" s="82" t="s">
        <v>640</v>
      </c>
      <c r="S473" s="82" t="s">
        <v>2106</v>
      </c>
      <c r="T473" s="87" t="str">
        <f>HYPERLINK("http://www.youtube.com/channel/UCvCk-LUUcBMF1RstEh5quSQ")</f>
        <v>http://www.youtube.com/channel/UCvCk-LUUcBMF1RstEh5quSQ</v>
      </c>
      <c r="U473" s="82"/>
      <c r="V473" s="82" t="s">
        <v>2373</v>
      </c>
      <c r="W473" s="87" t="str">
        <f t="shared" si="19"/>
        <v>https://www.youtube.com/watch?v=za6dE5JrNB0</v>
      </c>
      <c r="X473" s="82" t="s">
        <v>2384</v>
      </c>
      <c r="Y473" s="82">
        <v>0</v>
      </c>
      <c r="Z473" s="89">
        <v>44987.031793981485</v>
      </c>
      <c r="AA473" s="89">
        <v>44987.031793981485</v>
      </c>
      <c r="AB473" s="82"/>
      <c r="AC473" s="82"/>
      <c r="AD473" s="85" t="s">
        <v>2423</v>
      </c>
      <c r="AE473" s="84" t="str">
        <f>REPLACE(INDEX(GroupVertices[Group],MATCH("~"&amp;Edges[[#This Row],[Vertex 1]],GroupVertices[Vertex],0)),1,1,"")</f>
        <v>2</v>
      </c>
      <c r="AF473" s="84" t="str">
        <f>REPLACE(INDEX(GroupVertices[Group],MATCH("~"&amp;Edges[[#This Row],[Vertex 2]],GroupVertices[Vertex],0)),1,1,"")</f>
        <v>2</v>
      </c>
    </row>
    <row r="474" spans="1:32" ht="15">
      <c r="A474" s="66" t="s">
        <v>641</v>
      </c>
      <c r="B474" s="66" t="s">
        <v>905</v>
      </c>
      <c r="C474" s="67"/>
      <c r="D474" s="68"/>
      <c r="E474" s="69"/>
      <c r="F474" s="70"/>
      <c r="G474" s="67"/>
      <c r="H474" s="71"/>
      <c r="I474" s="72"/>
      <c r="J474" s="72"/>
      <c r="K474" s="35"/>
      <c r="L474" s="80">
        <v>474</v>
      </c>
      <c r="M474" s="80"/>
      <c r="N474" s="74"/>
      <c r="O474" s="82" t="s">
        <v>909</v>
      </c>
      <c r="P474" s="82" t="s">
        <v>197</v>
      </c>
      <c r="Q474" s="85" t="s">
        <v>1380</v>
      </c>
      <c r="R474" s="82" t="s">
        <v>641</v>
      </c>
      <c r="S474" s="82" t="s">
        <v>2107</v>
      </c>
      <c r="T474" s="87" t="str">
        <f>HYPERLINK("http://www.youtube.com/channel/UC8qZdEv3R_7q3knqIYhOtUQ")</f>
        <v>http://www.youtube.com/channel/UC8qZdEv3R_7q3knqIYhOtUQ</v>
      </c>
      <c r="U474" s="82"/>
      <c r="V474" s="82" t="s">
        <v>2373</v>
      </c>
      <c r="W474" s="87" t="str">
        <f t="shared" si="19"/>
        <v>https://www.youtube.com/watch?v=za6dE5JrNB0</v>
      </c>
      <c r="X474" s="82" t="s">
        <v>2384</v>
      </c>
      <c r="Y474" s="82">
        <v>0</v>
      </c>
      <c r="Z474" s="89">
        <v>44987.592361111114</v>
      </c>
      <c r="AA474" s="89">
        <v>44987.592361111114</v>
      </c>
      <c r="AB474" s="82"/>
      <c r="AC474" s="82"/>
      <c r="AD474" s="85" t="s">
        <v>2423</v>
      </c>
      <c r="AE474" s="84" t="str">
        <f>REPLACE(INDEX(GroupVertices[Group],MATCH("~"&amp;Edges[[#This Row],[Vertex 1]],GroupVertices[Vertex],0)),1,1,"")</f>
        <v>2</v>
      </c>
      <c r="AF474" s="84" t="str">
        <f>REPLACE(INDEX(GroupVertices[Group],MATCH("~"&amp;Edges[[#This Row],[Vertex 2]],GroupVertices[Vertex],0)),1,1,"")</f>
        <v>2</v>
      </c>
    </row>
    <row r="475" spans="1:32" ht="15">
      <c r="A475" s="66" t="s">
        <v>642</v>
      </c>
      <c r="B475" s="66" t="s">
        <v>905</v>
      </c>
      <c r="C475" s="67"/>
      <c r="D475" s="68"/>
      <c r="E475" s="69"/>
      <c r="F475" s="70"/>
      <c r="G475" s="67"/>
      <c r="H475" s="71"/>
      <c r="I475" s="72"/>
      <c r="J475" s="72"/>
      <c r="K475" s="35"/>
      <c r="L475" s="80">
        <v>475</v>
      </c>
      <c r="M475" s="80"/>
      <c r="N475" s="74"/>
      <c r="O475" s="82" t="s">
        <v>909</v>
      </c>
      <c r="P475" s="82" t="s">
        <v>197</v>
      </c>
      <c r="Q475" s="85" t="s">
        <v>1381</v>
      </c>
      <c r="R475" s="82" t="s">
        <v>642</v>
      </c>
      <c r="S475" s="82" t="s">
        <v>2108</v>
      </c>
      <c r="T475" s="87" t="str">
        <f>HYPERLINK("http://www.youtube.com/channel/UCFxlADzMeWHfNT-okhpFi8g")</f>
        <v>http://www.youtube.com/channel/UCFxlADzMeWHfNT-okhpFi8g</v>
      </c>
      <c r="U475" s="82"/>
      <c r="V475" s="82" t="s">
        <v>2373</v>
      </c>
      <c r="W475" s="87" t="str">
        <f t="shared" si="19"/>
        <v>https://www.youtube.com/watch?v=za6dE5JrNB0</v>
      </c>
      <c r="X475" s="82" t="s">
        <v>2384</v>
      </c>
      <c r="Y475" s="82">
        <v>0</v>
      </c>
      <c r="Z475" s="89">
        <v>44987.72133101852</v>
      </c>
      <c r="AA475" s="89">
        <v>44987.72133101852</v>
      </c>
      <c r="AB475" s="82"/>
      <c r="AC475" s="82"/>
      <c r="AD475" s="85" t="s">
        <v>2423</v>
      </c>
      <c r="AE475" s="84" t="str">
        <f>REPLACE(INDEX(GroupVertices[Group],MATCH("~"&amp;Edges[[#This Row],[Vertex 1]],GroupVertices[Vertex],0)),1,1,"")</f>
        <v>2</v>
      </c>
      <c r="AF475" s="84" t="str">
        <f>REPLACE(INDEX(GroupVertices[Group],MATCH("~"&amp;Edges[[#This Row],[Vertex 2]],GroupVertices[Vertex],0)),1,1,"")</f>
        <v>2</v>
      </c>
    </row>
    <row r="476" spans="1:32" ht="15">
      <c r="A476" s="66" t="s">
        <v>643</v>
      </c>
      <c r="B476" s="66" t="s">
        <v>905</v>
      </c>
      <c r="C476" s="67"/>
      <c r="D476" s="68"/>
      <c r="E476" s="69"/>
      <c r="F476" s="70"/>
      <c r="G476" s="67"/>
      <c r="H476" s="71"/>
      <c r="I476" s="72"/>
      <c r="J476" s="72"/>
      <c r="K476" s="35"/>
      <c r="L476" s="80">
        <v>476</v>
      </c>
      <c r="M476" s="80"/>
      <c r="N476" s="74"/>
      <c r="O476" s="82" t="s">
        <v>909</v>
      </c>
      <c r="P476" s="82" t="s">
        <v>197</v>
      </c>
      <c r="Q476" s="85" t="s">
        <v>1382</v>
      </c>
      <c r="R476" s="82" t="s">
        <v>643</v>
      </c>
      <c r="S476" s="82" t="s">
        <v>2109</v>
      </c>
      <c r="T476" s="87" t="str">
        <f>HYPERLINK("http://www.youtube.com/channel/UCX4PxI9y174K8kLytkebhzQ")</f>
        <v>http://www.youtube.com/channel/UCX4PxI9y174K8kLytkebhzQ</v>
      </c>
      <c r="U476" s="82"/>
      <c r="V476" s="82" t="s">
        <v>2373</v>
      </c>
      <c r="W476" s="87" t="str">
        <f t="shared" si="19"/>
        <v>https://www.youtube.com/watch?v=za6dE5JrNB0</v>
      </c>
      <c r="X476" s="82" t="s">
        <v>2384</v>
      </c>
      <c r="Y476" s="82">
        <v>0</v>
      </c>
      <c r="Z476" s="89">
        <v>44987.762337962966</v>
      </c>
      <c r="AA476" s="89">
        <v>44987.762337962966</v>
      </c>
      <c r="AB476" s="82"/>
      <c r="AC476" s="82"/>
      <c r="AD476" s="85" t="s">
        <v>2423</v>
      </c>
      <c r="AE476" s="84" t="str">
        <f>REPLACE(INDEX(GroupVertices[Group],MATCH("~"&amp;Edges[[#This Row],[Vertex 1]],GroupVertices[Vertex],0)),1,1,"")</f>
        <v>2</v>
      </c>
      <c r="AF476" s="84" t="str">
        <f>REPLACE(INDEX(GroupVertices[Group],MATCH("~"&amp;Edges[[#This Row],[Vertex 2]],GroupVertices[Vertex],0)),1,1,"")</f>
        <v>2</v>
      </c>
    </row>
    <row r="477" spans="1:32" ht="15">
      <c r="A477" s="66" t="s">
        <v>644</v>
      </c>
      <c r="B477" s="66" t="s">
        <v>905</v>
      </c>
      <c r="C477" s="67"/>
      <c r="D477" s="68"/>
      <c r="E477" s="69"/>
      <c r="F477" s="70"/>
      <c r="G477" s="67"/>
      <c r="H477" s="71"/>
      <c r="I477" s="72"/>
      <c r="J477" s="72"/>
      <c r="K477" s="35"/>
      <c r="L477" s="80">
        <v>477</v>
      </c>
      <c r="M477" s="80"/>
      <c r="N477" s="74"/>
      <c r="O477" s="82" t="s">
        <v>909</v>
      </c>
      <c r="P477" s="82" t="s">
        <v>197</v>
      </c>
      <c r="Q477" s="85" t="s">
        <v>1383</v>
      </c>
      <c r="R477" s="82" t="s">
        <v>644</v>
      </c>
      <c r="S477" s="82" t="s">
        <v>2110</v>
      </c>
      <c r="T477" s="87" t="str">
        <f>HYPERLINK("http://www.youtube.com/channel/UCKjOKIhkYRu2WtTUQ6rXXLw")</f>
        <v>http://www.youtube.com/channel/UCKjOKIhkYRu2WtTUQ6rXXLw</v>
      </c>
      <c r="U477" s="82"/>
      <c r="V477" s="82" t="s">
        <v>2373</v>
      </c>
      <c r="W477" s="87" t="str">
        <f t="shared" si="19"/>
        <v>https://www.youtube.com/watch?v=za6dE5JrNB0</v>
      </c>
      <c r="X477" s="82" t="s">
        <v>2384</v>
      </c>
      <c r="Y477" s="82">
        <v>0</v>
      </c>
      <c r="Z477" s="89">
        <v>44988.0606712963</v>
      </c>
      <c r="AA477" s="89">
        <v>44988.0606712963</v>
      </c>
      <c r="AB477" s="82"/>
      <c r="AC477" s="82"/>
      <c r="AD477" s="85" t="s">
        <v>2423</v>
      </c>
      <c r="AE477" s="84" t="str">
        <f>REPLACE(INDEX(GroupVertices[Group],MATCH("~"&amp;Edges[[#This Row],[Vertex 1]],GroupVertices[Vertex],0)),1,1,"")</f>
        <v>2</v>
      </c>
      <c r="AF477" s="84" t="str">
        <f>REPLACE(INDEX(GroupVertices[Group],MATCH("~"&amp;Edges[[#This Row],[Vertex 2]],GroupVertices[Vertex],0)),1,1,"")</f>
        <v>2</v>
      </c>
    </row>
    <row r="478" spans="1:32" ht="15">
      <c r="A478" s="66" t="s">
        <v>645</v>
      </c>
      <c r="B478" s="66" t="s">
        <v>905</v>
      </c>
      <c r="C478" s="67"/>
      <c r="D478" s="68"/>
      <c r="E478" s="69"/>
      <c r="F478" s="70"/>
      <c r="G478" s="67"/>
      <c r="H478" s="71"/>
      <c r="I478" s="72"/>
      <c r="J478" s="72"/>
      <c r="K478" s="35"/>
      <c r="L478" s="80">
        <v>478</v>
      </c>
      <c r="M478" s="80"/>
      <c r="N478" s="74"/>
      <c r="O478" s="82" t="s">
        <v>909</v>
      </c>
      <c r="P478" s="82" t="s">
        <v>197</v>
      </c>
      <c r="Q478" s="85" t="s">
        <v>1384</v>
      </c>
      <c r="R478" s="82" t="s">
        <v>645</v>
      </c>
      <c r="S478" s="82" t="s">
        <v>2111</v>
      </c>
      <c r="T478" s="87" t="str">
        <f>HYPERLINK("http://www.youtube.com/channel/UCJVBtqGARZMuj27oWqHNPPg")</f>
        <v>http://www.youtube.com/channel/UCJVBtqGARZMuj27oWqHNPPg</v>
      </c>
      <c r="U478" s="82"/>
      <c r="V478" s="82" t="s">
        <v>2373</v>
      </c>
      <c r="W478" s="87" t="str">
        <f t="shared" si="19"/>
        <v>https://www.youtube.com/watch?v=za6dE5JrNB0</v>
      </c>
      <c r="X478" s="82" t="s">
        <v>2384</v>
      </c>
      <c r="Y478" s="82">
        <v>0</v>
      </c>
      <c r="Z478" s="89">
        <v>44988.10009259259</v>
      </c>
      <c r="AA478" s="89">
        <v>44988.10009259259</v>
      </c>
      <c r="AB478" s="82"/>
      <c r="AC478" s="82"/>
      <c r="AD478" s="85" t="s">
        <v>2423</v>
      </c>
      <c r="AE478" s="84" t="str">
        <f>REPLACE(INDEX(GroupVertices[Group],MATCH("~"&amp;Edges[[#This Row],[Vertex 1]],GroupVertices[Vertex],0)),1,1,"")</f>
        <v>2</v>
      </c>
      <c r="AF478" s="84" t="str">
        <f>REPLACE(INDEX(GroupVertices[Group],MATCH("~"&amp;Edges[[#This Row],[Vertex 2]],GroupVertices[Vertex],0)),1,1,"")</f>
        <v>2</v>
      </c>
    </row>
    <row r="479" spans="1:32" ht="15">
      <c r="A479" s="66" t="s">
        <v>646</v>
      </c>
      <c r="B479" s="66" t="s">
        <v>905</v>
      </c>
      <c r="C479" s="67"/>
      <c r="D479" s="68"/>
      <c r="E479" s="69"/>
      <c r="F479" s="70"/>
      <c r="G479" s="67"/>
      <c r="H479" s="71"/>
      <c r="I479" s="72"/>
      <c r="J479" s="72"/>
      <c r="K479" s="35"/>
      <c r="L479" s="80">
        <v>479</v>
      </c>
      <c r="M479" s="80"/>
      <c r="N479" s="74"/>
      <c r="O479" s="82" t="s">
        <v>909</v>
      </c>
      <c r="P479" s="82" t="s">
        <v>197</v>
      </c>
      <c r="Q479" s="85" t="s">
        <v>1385</v>
      </c>
      <c r="R479" s="82" t="s">
        <v>646</v>
      </c>
      <c r="S479" s="82" t="s">
        <v>2112</v>
      </c>
      <c r="T479" s="87" t="str">
        <f>HYPERLINK("http://www.youtube.com/channel/UCW957N32DXhPvvf2q1DI1Ug")</f>
        <v>http://www.youtube.com/channel/UCW957N32DXhPvvf2q1DI1Ug</v>
      </c>
      <c r="U479" s="82"/>
      <c r="V479" s="82" t="s">
        <v>2373</v>
      </c>
      <c r="W479" s="87" t="str">
        <f t="shared" si="19"/>
        <v>https://www.youtube.com/watch?v=za6dE5JrNB0</v>
      </c>
      <c r="X479" s="82" t="s">
        <v>2384</v>
      </c>
      <c r="Y479" s="82">
        <v>1</v>
      </c>
      <c r="Z479" s="89">
        <v>44988.94244212963</v>
      </c>
      <c r="AA479" s="89">
        <v>44988.94244212963</v>
      </c>
      <c r="AB479" s="82"/>
      <c r="AC479" s="82"/>
      <c r="AD479" s="85" t="s">
        <v>2423</v>
      </c>
      <c r="AE479" s="84" t="str">
        <f>REPLACE(INDEX(GroupVertices[Group],MATCH("~"&amp;Edges[[#This Row],[Vertex 1]],GroupVertices[Vertex],0)),1,1,"")</f>
        <v>2</v>
      </c>
      <c r="AF479" s="84" t="str">
        <f>REPLACE(INDEX(GroupVertices[Group],MATCH("~"&amp;Edges[[#This Row],[Vertex 2]],GroupVertices[Vertex],0)),1,1,"")</f>
        <v>2</v>
      </c>
    </row>
    <row r="480" spans="1:32" ht="15">
      <c r="A480" s="66" t="s">
        <v>647</v>
      </c>
      <c r="B480" s="66" t="s">
        <v>905</v>
      </c>
      <c r="C480" s="67"/>
      <c r="D480" s="68"/>
      <c r="E480" s="69"/>
      <c r="F480" s="70"/>
      <c r="G480" s="67"/>
      <c r="H480" s="71"/>
      <c r="I480" s="72"/>
      <c r="J480" s="72"/>
      <c r="K480" s="35"/>
      <c r="L480" s="80">
        <v>480</v>
      </c>
      <c r="M480" s="80"/>
      <c r="N480" s="74"/>
      <c r="O480" s="82" t="s">
        <v>909</v>
      </c>
      <c r="P480" s="82" t="s">
        <v>197</v>
      </c>
      <c r="Q480" s="85" t="s">
        <v>1386</v>
      </c>
      <c r="R480" s="82" t="s">
        <v>647</v>
      </c>
      <c r="S480" s="82" t="s">
        <v>2113</v>
      </c>
      <c r="T480" s="87" t="str">
        <f>HYPERLINK("http://www.youtube.com/channel/UCqJGgTgnNURESZKCydR5oug")</f>
        <v>http://www.youtube.com/channel/UCqJGgTgnNURESZKCydR5oug</v>
      </c>
      <c r="U480" s="82"/>
      <c r="V480" s="82" t="s">
        <v>2373</v>
      </c>
      <c r="W480" s="87" t="str">
        <f t="shared" si="19"/>
        <v>https://www.youtube.com/watch?v=za6dE5JrNB0</v>
      </c>
      <c r="X480" s="82" t="s">
        <v>2384</v>
      </c>
      <c r="Y480" s="82">
        <v>0</v>
      </c>
      <c r="Z480" s="89">
        <v>44989.07925925926</v>
      </c>
      <c r="AA480" s="89">
        <v>44989.07925925926</v>
      </c>
      <c r="AB480" s="82"/>
      <c r="AC480" s="82"/>
      <c r="AD480" s="85" t="s">
        <v>2423</v>
      </c>
      <c r="AE480" s="84" t="str">
        <f>REPLACE(INDEX(GroupVertices[Group],MATCH("~"&amp;Edges[[#This Row],[Vertex 1]],GroupVertices[Vertex],0)),1,1,"")</f>
        <v>2</v>
      </c>
      <c r="AF480" s="84" t="str">
        <f>REPLACE(INDEX(GroupVertices[Group],MATCH("~"&amp;Edges[[#This Row],[Vertex 2]],GroupVertices[Vertex],0)),1,1,"")</f>
        <v>2</v>
      </c>
    </row>
    <row r="481" spans="1:32" ht="15">
      <c r="A481" s="66" t="s">
        <v>648</v>
      </c>
      <c r="B481" s="66" t="s">
        <v>905</v>
      </c>
      <c r="C481" s="67"/>
      <c r="D481" s="68"/>
      <c r="E481" s="69"/>
      <c r="F481" s="70"/>
      <c r="G481" s="67"/>
      <c r="H481" s="71"/>
      <c r="I481" s="72"/>
      <c r="J481" s="72"/>
      <c r="K481" s="35"/>
      <c r="L481" s="80">
        <v>481</v>
      </c>
      <c r="M481" s="80"/>
      <c r="N481" s="74"/>
      <c r="O481" s="82" t="s">
        <v>909</v>
      </c>
      <c r="P481" s="82" t="s">
        <v>197</v>
      </c>
      <c r="Q481" s="85" t="s">
        <v>1387</v>
      </c>
      <c r="R481" s="82" t="s">
        <v>648</v>
      </c>
      <c r="S481" s="82" t="s">
        <v>2114</v>
      </c>
      <c r="T481" s="87" t="str">
        <f>HYPERLINK("http://www.youtube.com/channel/UCoaoT4HBa-brA_lN59WulXw")</f>
        <v>http://www.youtube.com/channel/UCoaoT4HBa-brA_lN59WulXw</v>
      </c>
      <c r="U481" s="82"/>
      <c r="V481" s="82" t="s">
        <v>2373</v>
      </c>
      <c r="W481" s="87" t="str">
        <f t="shared" si="19"/>
        <v>https://www.youtube.com/watch?v=za6dE5JrNB0</v>
      </c>
      <c r="X481" s="82" t="s">
        <v>2384</v>
      </c>
      <c r="Y481" s="82">
        <v>0</v>
      </c>
      <c r="Z481" s="89">
        <v>44989.123090277775</v>
      </c>
      <c r="AA481" s="89">
        <v>44989.123090277775</v>
      </c>
      <c r="AB481" s="82"/>
      <c r="AC481" s="82"/>
      <c r="AD481" s="85" t="s">
        <v>2423</v>
      </c>
      <c r="AE481" s="84" t="str">
        <f>REPLACE(INDEX(GroupVertices[Group],MATCH("~"&amp;Edges[[#This Row],[Vertex 1]],GroupVertices[Vertex],0)),1,1,"")</f>
        <v>2</v>
      </c>
      <c r="AF481" s="84" t="str">
        <f>REPLACE(INDEX(GroupVertices[Group],MATCH("~"&amp;Edges[[#This Row],[Vertex 2]],GroupVertices[Vertex],0)),1,1,"")</f>
        <v>2</v>
      </c>
    </row>
    <row r="482" spans="1:32" ht="15">
      <c r="A482" s="66" t="s">
        <v>649</v>
      </c>
      <c r="B482" s="66" t="s">
        <v>907</v>
      </c>
      <c r="C482" s="67"/>
      <c r="D482" s="68"/>
      <c r="E482" s="69"/>
      <c r="F482" s="70"/>
      <c r="G482" s="67"/>
      <c r="H482" s="71"/>
      <c r="I482" s="72"/>
      <c r="J482" s="72"/>
      <c r="K482" s="35"/>
      <c r="L482" s="80">
        <v>482</v>
      </c>
      <c r="M482" s="80"/>
      <c r="N482" s="74"/>
      <c r="O482" s="82" t="s">
        <v>909</v>
      </c>
      <c r="P482" s="82" t="s">
        <v>197</v>
      </c>
      <c r="Q482" s="85" t="s">
        <v>1388</v>
      </c>
      <c r="R482" s="82" t="s">
        <v>649</v>
      </c>
      <c r="S482" s="82" t="s">
        <v>2115</v>
      </c>
      <c r="T482" s="87" t="str">
        <f aca="true" t="shared" si="20" ref="T482:T488">HYPERLINK("http://www.youtube.com/channel/UCaKeBJQKOYVuJfflEPX66jw")</f>
        <v>http://www.youtube.com/channel/UCaKeBJQKOYVuJfflEPX66jw</v>
      </c>
      <c r="U482" s="82"/>
      <c r="V482" s="82" t="s">
        <v>2370</v>
      </c>
      <c r="W482" s="87" t="str">
        <f aca="true" t="shared" si="21" ref="W482:W487">HYPERLINK("https://www.youtube.com/watch?v=yBF2fGUO5cQ")</f>
        <v>https://www.youtube.com/watch?v=yBF2fGUO5cQ</v>
      </c>
      <c r="X482" s="82" t="s">
        <v>2384</v>
      </c>
      <c r="Y482" s="82">
        <v>1</v>
      </c>
      <c r="Z482" s="89">
        <v>45286.744259259256</v>
      </c>
      <c r="AA482" s="89">
        <v>45286.744259259256</v>
      </c>
      <c r="AB482" s="82"/>
      <c r="AC482" s="82"/>
      <c r="AD482" s="85" t="s">
        <v>2423</v>
      </c>
      <c r="AE482" s="84" t="str">
        <f>REPLACE(INDEX(GroupVertices[Group],MATCH("~"&amp;Edges[[#This Row],[Vertex 1]],GroupVertices[Vertex],0)),1,1,"")</f>
        <v>2</v>
      </c>
      <c r="AF482" s="84" t="str">
        <f>REPLACE(INDEX(GroupVertices[Group],MATCH("~"&amp;Edges[[#This Row],[Vertex 2]],GroupVertices[Vertex],0)),1,1,"")</f>
        <v>1</v>
      </c>
    </row>
    <row r="483" spans="1:32" ht="15">
      <c r="A483" s="66" t="s">
        <v>649</v>
      </c>
      <c r="B483" s="66" t="s">
        <v>907</v>
      </c>
      <c r="C483" s="67"/>
      <c r="D483" s="68"/>
      <c r="E483" s="69"/>
      <c r="F483" s="70"/>
      <c r="G483" s="67"/>
      <c r="H483" s="71"/>
      <c r="I483" s="72"/>
      <c r="J483" s="72"/>
      <c r="K483" s="35"/>
      <c r="L483" s="80">
        <v>483</v>
      </c>
      <c r="M483" s="80"/>
      <c r="N483" s="74"/>
      <c r="O483" s="82" t="s">
        <v>909</v>
      </c>
      <c r="P483" s="82" t="s">
        <v>197</v>
      </c>
      <c r="Q483" s="85" t="s">
        <v>1389</v>
      </c>
      <c r="R483" s="82" t="s">
        <v>649</v>
      </c>
      <c r="S483" s="82" t="s">
        <v>2115</v>
      </c>
      <c r="T483" s="87" t="str">
        <f t="shared" si="20"/>
        <v>http://www.youtube.com/channel/UCaKeBJQKOYVuJfflEPX66jw</v>
      </c>
      <c r="U483" s="82"/>
      <c r="V483" s="82" t="s">
        <v>2370</v>
      </c>
      <c r="W483" s="87" t="str">
        <f t="shared" si="21"/>
        <v>https://www.youtube.com/watch?v=yBF2fGUO5cQ</v>
      </c>
      <c r="X483" s="82" t="s">
        <v>2384</v>
      </c>
      <c r="Y483" s="82">
        <v>0</v>
      </c>
      <c r="Z483" s="89">
        <v>45286.746828703705</v>
      </c>
      <c r="AA483" s="89">
        <v>45286.746828703705</v>
      </c>
      <c r="AB483" s="82"/>
      <c r="AC483" s="82"/>
      <c r="AD483" s="85" t="s">
        <v>2423</v>
      </c>
      <c r="AE483" s="84" t="str">
        <f>REPLACE(INDEX(GroupVertices[Group],MATCH("~"&amp;Edges[[#This Row],[Vertex 1]],GroupVertices[Vertex],0)),1,1,"")</f>
        <v>2</v>
      </c>
      <c r="AF483" s="84" t="str">
        <f>REPLACE(INDEX(GroupVertices[Group],MATCH("~"&amp;Edges[[#This Row],[Vertex 2]],GroupVertices[Vertex],0)),1,1,"")</f>
        <v>1</v>
      </c>
    </row>
    <row r="484" spans="1:32" ht="15">
      <c r="A484" s="66" t="s">
        <v>649</v>
      </c>
      <c r="B484" s="66" t="s">
        <v>907</v>
      </c>
      <c r="C484" s="67"/>
      <c r="D484" s="68"/>
      <c r="E484" s="69"/>
      <c r="F484" s="70"/>
      <c r="G484" s="67"/>
      <c r="H484" s="71"/>
      <c r="I484" s="72"/>
      <c r="J484" s="72"/>
      <c r="K484" s="35"/>
      <c r="L484" s="80">
        <v>484</v>
      </c>
      <c r="M484" s="80"/>
      <c r="N484" s="74"/>
      <c r="O484" s="82" t="s">
        <v>909</v>
      </c>
      <c r="P484" s="82" t="s">
        <v>197</v>
      </c>
      <c r="Q484" s="85" t="s">
        <v>1390</v>
      </c>
      <c r="R484" s="82" t="s">
        <v>649</v>
      </c>
      <c r="S484" s="82" t="s">
        <v>2115</v>
      </c>
      <c r="T484" s="87" t="str">
        <f t="shared" si="20"/>
        <v>http://www.youtube.com/channel/UCaKeBJQKOYVuJfflEPX66jw</v>
      </c>
      <c r="U484" s="82"/>
      <c r="V484" s="82" t="s">
        <v>2370</v>
      </c>
      <c r="W484" s="87" t="str">
        <f t="shared" si="21"/>
        <v>https://www.youtube.com/watch?v=yBF2fGUO5cQ</v>
      </c>
      <c r="X484" s="82" t="s">
        <v>2384</v>
      </c>
      <c r="Y484" s="82">
        <v>0</v>
      </c>
      <c r="Z484" s="89">
        <v>45290.525555555556</v>
      </c>
      <c r="AA484" s="89">
        <v>45290.525555555556</v>
      </c>
      <c r="AB484" s="82"/>
      <c r="AC484" s="82"/>
      <c r="AD484" s="85" t="s">
        <v>2423</v>
      </c>
      <c r="AE484" s="84" t="str">
        <f>REPLACE(INDEX(GroupVertices[Group],MATCH("~"&amp;Edges[[#This Row],[Vertex 1]],GroupVertices[Vertex],0)),1,1,"")</f>
        <v>2</v>
      </c>
      <c r="AF484" s="84" t="str">
        <f>REPLACE(INDEX(GroupVertices[Group],MATCH("~"&amp;Edges[[#This Row],[Vertex 2]],GroupVertices[Vertex],0)),1,1,"")</f>
        <v>1</v>
      </c>
    </row>
    <row r="485" spans="1:32" ht="15">
      <c r="A485" s="66" t="s">
        <v>649</v>
      </c>
      <c r="B485" s="66" t="s">
        <v>907</v>
      </c>
      <c r="C485" s="67"/>
      <c r="D485" s="68"/>
      <c r="E485" s="69"/>
      <c r="F485" s="70"/>
      <c r="G485" s="67"/>
      <c r="H485" s="71"/>
      <c r="I485" s="72"/>
      <c r="J485" s="72"/>
      <c r="K485" s="35"/>
      <c r="L485" s="80">
        <v>485</v>
      </c>
      <c r="M485" s="80"/>
      <c r="N485" s="74"/>
      <c r="O485" s="82" t="s">
        <v>909</v>
      </c>
      <c r="P485" s="82" t="s">
        <v>197</v>
      </c>
      <c r="Q485" s="85" t="s">
        <v>1391</v>
      </c>
      <c r="R485" s="82" t="s">
        <v>649</v>
      </c>
      <c r="S485" s="82" t="s">
        <v>2115</v>
      </c>
      <c r="T485" s="87" t="str">
        <f t="shared" si="20"/>
        <v>http://www.youtube.com/channel/UCaKeBJQKOYVuJfflEPX66jw</v>
      </c>
      <c r="U485" s="82"/>
      <c r="V485" s="82" t="s">
        <v>2370</v>
      </c>
      <c r="W485" s="87" t="str">
        <f t="shared" si="21"/>
        <v>https://www.youtube.com/watch?v=yBF2fGUO5cQ</v>
      </c>
      <c r="X485" s="82" t="s">
        <v>2384</v>
      </c>
      <c r="Y485" s="82">
        <v>0</v>
      </c>
      <c r="Z485" s="89">
        <v>45290.526412037034</v>
      </c>
      <c r="AA485" s="89">
        <v>45290.526412037034</v>
      </c>
      <c r="AB485" s="82"/>
      <c r="AC485" s="82"/>
      <c r="AD485" s="85" t="s">
        <v>2423</v>
      </c>
      <c r="AE485" s="84" t="str">
        <f>REPLACE(INDEX(GroupVertices[Group],MATCH("~"&amp;Edges[[#This Row],[Vertex 1]],GroupVertices[Vertex],0)),1,1,"")</f>
        <v>2</v>
      </c>
      <c r="AF485" s="84" t="str">
        <f>REPLACE(INDEX(GroupVertices[Group],MATCH("~"&amp;Edges[[#This Row],[Vertex 2]],GroupVertices[Vertex],0)),1,1,"")</f>
        <v>1</v>
      </c>
    </row>
    <row r="486" spans="1:32" ht="15">
      <c r="A486" s="66" t="s">
        <v>649</v>
      </c>
      <c r="B486" s="66" t="s">
        <v>907</v>
      </c>
      <c r="C486" s="67"/>
      <c r="D486" s="68"/>
      <c r="E486" s="69"/>
      <c r="F486" s="70"/>
      <c r="G486" s="67"/>
      <c r="H486" s="71"/>
      <c r="I486" s="72"/>
      <c r="J486" s="72"/>
      <c r="K486" s="35"/>
      <c r="L486" s="80">
        <v>486</v>
      </c>
      <c r="M486" s="80"/>
      <c r="N486" s="74"/>
      <c r="O486" s="82" t="s">
        <v>909</v>
      </c>
      <c r="P486" s="82" t="s">
        <v>197</v>
      </c>
      <c r="Q486" s="85" t="s">
        <v>1392</v>
      </c>
      <c r="R486" s="82" t="s">
        <v>649</v>
      </c>
      <c r="S486" s="82" t="s">
        <v>2115</v>
      </c>
      <c r="T486" s="87" t="str">
        <f t="shared" si="20"/>
        <v>http://www.youtube.com/channel/UCaKeBJQKOYVuJfflEPX66jw</v>
      </c>
      <c r="U486" s="82"/>
      <c r="V486" s="82" t="s">
        <v>2370</v>
      </c>
      <c r="W486" s="87" t="str">
        <f t="shared" si="21"/>
        <v>https://www.youtube.com/watch?v=yBF2fGUO5cQ</v>
      </c>
      <c r="X486" s="82" t="s">
        <v>2384</v>
      </c>
      <c r="Y486" s="82">
        <v>0</v>
      </c>
      <c r="Z486" s="89">
        <v>45290.527025462965</v>
      </c>
      <c r="AA486" s="89">
        <v>45290.527025462965</v>
      </c>
      <c r="AB486" s="82"/>
      <c r="AC486" s="82"/>
      <c r="AD486" s="85" t="s">
        <v>2423</v>
      </c>
      <c r="AE486" s="84" t="str">
        <f>REPLACE(INDEX(GroupVertices[Group],MATCH("~"&amp;Edges[[#This Row],[Vertex 1]],GroupVertices[Vertex],0)),1,1,"")</f>
        <v>2</v>
      </c>
      <c r="AF486" s="84" t="str">
        <f>REPLACE(INDEX(GroupVertices[Group],MATCH("~"&amp;Edges[[#This Row],[Vertex 2]],GroupVertices[Vertex],0)),1,1,"")</f>
        <v>1</v>
      </c>
    </row>
    <row r="487" spans="1:32" ht="15">
      <c r="A487" s="66" t="s">
        <v>649</v>
      </c>
      <c r="B487" s="66" t="s">
        <v>907</v>
      </c>
      <c r="C487" s="67"/>
      <c r="D487" s="68"/>
      <c r="E487" s="69"/>
      <c r="F487" s="70"/>
      <c r="G487" s="67"/>
      <c r="H487" s="71"/>
      <c r="I487" s="72"/>
      <c r="J487" s="72"/>
      <c r="K487" s="35"/>
      <c r="L487" s="80">
        <v>487</v>
      </c>
      <c r="M487" s="80"/>
      <c r="N487" s="74"/>
      <c r="O487" s="82" t="s">
        <v>909</v>
      </c>
      <c r="P487" s="82" t="s">
        <v>197</v>
      </c>
      <c r="Q487" s="85" t="s">
        <v>1393</v>
      </c>
      <c r="R487" s="82" t="s">
        <v>649</v>
      </c>
      <c r="S487" s="82" t="s">
        <v>2115</v>
      </c>
      <c r="T487" s="87" t="str">
        <f t="shared" si="20"/>
        <v>http://www.youtube.com/channel/UCaKeBJQKOYVuJfflEPX66jw</v>
      </c>
      <c r="U487" s="82"/>
      <c r="V487" s="82" t="s">
        <v>2370</v>
      </c>
      <c r="W487" s="87" t="str">
        <f t="shared" si="21"/>
        <v>https://www.youtube.com/watch?v=yBF2fGUO5cQ</v>
      </c>
      <c r="X487" s="82" t="s">
        <v>2384</v>
      </c>
      <c r="Y487" s="82">
        <v>0</v>
      </c>
      <c r="Z487" s="89">
        <v>45298.62070601852</v>
      </c>
      <c r="AA487" s="89">
        <v>45298.621875</v>
      </c>
      <c r="AB487" s="82"/>
      <c r="AC487" s="82"/>
      <c r="AD487" s="85" t="s">
        <v>2423</v>
      </c>
      <c r="AE487" s="84" t="str">
        <f>REPLACE(INDEX(GroupVertices[Group],MATCH("~"&amp;Edges[[#This Row],[Vertex 1]],GroupVertices[Vertex],0)),1,1,"")</f>
        <v>2</v>
      </c>
      <c r="AF487" s="84" t="str">
        <f>REPLACE(INDEX(GroupVertices[Group],MATCH("~"&amp;Edges[[#This Row],[Vertex 2]],GroupVertices[Vertex],0)),1,1,"")</f>
        <v>1</v>
      </c>
    </row>
    <row r="488" spans="1:32" ht="15">
      <c r="A488" s="66" t="s">
        <v>649</v>
      </c>
      <c r="B488" s="66" t="s">
        <v>905</v>
      </c>
      <c r="C488" s="67"/>
      <c r="D488" s="68"/>
      <c r="E488" s="69"/>
      <c r="F488" s="70"/>
      <c r="G488" s="67"/>
      <c r="H488" s="71"/>
      <c r="I488" s="72"/>
      <c r="J488" s="72"/>
      <c r="K488" s="35"/>
      <c r="L488" s="80">
        <v>488</v>
      </c>
      <c r="M488" s="80"/>
      <c r="N488" s="74"/>
      <c r="O488" s="82" t="s">
        <v>909</v>
      </c>
      <c r="P488" s="82" t="s">
        <v>197</v>
      </c>
      <c r="Q488" s="85" t="s">
        <v>1394</v>
      </c>
      <c r="R488" s="82" t="s">
        <v>649</v>
      </c>
      <c r="S488" s="82" t="s">
        <v>2115</v>
      </c>
      <c r="T488" s="87" t="str">
        <f t="shared" si="20"/>
        <v>http://www.youtube.com/channel/UCaKeBJQKOYVuJfflEPX66jw</v>
      </c>
      <c r="U488" s="82"/>
      <c r="V488" s="82" t="s">
        <v>2373</v>
      </c>
      <c r="W488" s="87" t="str">
        <f aca="true" t="shared" si="22" ref="W488:W514">HYPERLINK("https://www.youtube.com/watch?v=za6dE5JrNB0")</f>
        <v>https://www.youtube.com/watch?v=za6dE5JrNB0</v>
      </c>
      <c r="X488" s="82" t="s">
        <v>2384</v>
      </c>
      <c r="Y488" s="82">
        <v>0</v>
      </c>
      <c r="Z488" s="89">
        <v>44989.77863425926</v>
      </c>
      <c r="AA488" s="89">
        <v>44989.77925925926</v>
      </c>
      <c r="AB488" s="82"/>
      <c r="AC488" s="82"/>
      <c r="AD488" s="85" t="s">
        <v>2423</v>
      </c>
      <c r="AE488" s="84" t="str">
        <f>REPLACE(INDEX(GroupVertices[Group],MATCH("~"&amp;Edges[[#This Row],[Vertex 1]],GroupVertices[Vertex],0)),1,1,"")</f>
        <v>2</v>
      </c>
      <c r="AF488" s="84" t="str">
        <f>REPLACE(INDEX(GroupVertices[Group],MATCH("~"&amp;Edges[[#This Row],[Vertex 2]],GroupVertices[Vertex],0)),1,1,"")</f>
        <v>2</v>
      </c>
    </row>
    <row r="489" spans="1:32" ht="15">
      <c r="A489" s="66" t="s">
        <v>650</v>
      </c>
      <c r="B489" s="66" t="s">
        <v>905</v>
      </c>
      <c r="C489" s="67"/>
      <c r="D489" s="68"/>
      <c r="E489" s="69"/>
      <c r="F489" s="70"/>
      <c r="G489" s="67"/>
      <c r="H489" s="71"/>
      <c r="I489" s="72"/>
      <c r="J489" s="72"/>
      <c r="K489" s="35"/>
      <c r="L489" s="80">
        <v>489</v>
      </c>
      <c r="M489" s="80"/>
      <c r="N489" s="74"/>
      <c r="O489" s="82" t="s">
        <v>909</v>
      </c>
      <c r="P489" s="82" t="s">
        <v>197</v>
      </c>
      <c r="Q489" s="85" t="s">
        <v>1395</v>
      </c>
      <c r="R489" s="82" t="s">
        <v>650</v>
      </c>
      <c r="S489" s="82" t="s">
        <v>2116</v>
      </c>
      <c r="T489" s="87" t="str">
        <f>HYPERLINK("http://www.youtube.com/channel/UCvsjG3q3XEkUsxgrcjh4gXA")</f>
        <v>http://www.youtube.com/channel/UCvsjG3q3XEkUsxgrcjh4gXA</v>
      </c>
      <c r="U489" s="82"/>
      <c r="V489" s="82" t="s">
        <v>2373</v>
      </c>
      <c r="W489" s="87" t="str">
        <f t="shared" si="22"/>
        <v>https://www.youtube.com/watch?v=za6dE5JrNB0</v>
      </c>
      <c r="X489" s="82" t="s">
        <v>2384</v>
      </c>
      <c r="Y489" s="82">
        <v>0</v>
      </c>
      <c r="Z489" s="89">
        <v>44990.20315972222</v>
      </c>
      <c r="AA489" s="89">
        <v>44990.20315972222</v>
      </c>
      <c r="AB489" s="82"/>
      <c r="AC489" s="82"/>
      <c r="AD489" s="85" t="s">
        <v>2423</v>
      </c>
      <c r="AE489" s="84" t="str">
        <f>REPLACE(INDEX(GroupVertices[Group],MATCH("~"&amp;Edges[[#This Row],[Vertex 1]],GroupVertices[Vertex],0)),1,1,"")</f>
        <v>2</v>
      </c>
      <c r="AF489" s="84" t="str">
        <f>REPLACE(INDEX(GroupVertices[Group],MATCH("~"&amp;Edges[[#This Row],[Vertex 2]],GroupVertices[Vertex],0)),1,1,"")</f>
        <v>2</v>
      </c>
    </row>
    <row r="490" spans="1:32" ht="15">
      <c r="A490" s="66" t="s">
        <v>651</v>
      </c>
      <c r="B490" s="66" t="s">
        <v>905</v>
      </c>
      <c r="C490" s="67"/>
      <c r="D490" s="68"/>
      <c r="E490" s="69"/>
      <c r="F490" s="70"/>
      <c r="G490" s="67"/>
      <c r="H490" s="71"/>
      <c r="I490" s="72"/>
      <c r="J490" s="72"/>
      <c r="K490" s="35"/>
      <c r="L490" s="80">
        <v>490</v>
      </c>
      <c r="M490" s="80"/>
      <c r="N490" s="74"/>
      <c r="O490" s="82" t="s">
        <v>909</v>
      </c>
      <c r="P490" s="82" t="s">
        <v>197</v>
      </c>
      <c r="Q490" s="85" t="s">
        <v>1396</v>
      </c>
      <c r="R490" s="82" t="s">
        <v>651</v>
      </c>
      <c r="S490" s="82" t="s">
        <v>2117</v>
      </c>
      <c r="T490" s="87" t="str">
        <f>HYPERLINK("http://www.youtube.com/channel/UCph6ZiZvmteyK2atIj666Xw")</f>
        <v>http://www.youtube.com/channel/UCph6ZiZvmteyK2atIj666Xw</v>
      </c>
      <c r="U490" s="82"/>
      <c r="V490" s="82" t="s">
        <v>2373</v>
      </c>
      <c r="W490" s="87" t="str">
        <f t="shared" si="22"/>
        <v>https://www.youtube.com/watch?v=za6dE5JrNB0</v>
      </c>
      <c r="X490" s="82" t="s">
        <v>2384</v>
      </c>
      <c r="Y490" s="82">
        <v>1</v>
      </c>
      <c r="Z490" s="89">
        <v>44990.28733796296</v>
      </c>
      <c r="AA490" s="89">
        <v>44990.28733796296</v>
      </c>
      <c r="AB490" s="82"/>
      <c r="AC490" s="82"/>
      <c r="AD490" s="85" t="s">
        <v>2423</v>
      </c>
      <c r="AE490" s="84" t="str">
        <f>REPLACE(INDEX(GroupVertices[Group],MATCH("~"&amp;Edges[[#This Row],[Vertex 1]],GroupVertices[Vertex],0)),1,1,"")</f>
        <v>2</v>
      </c>
      <c r="AF490" s="84" t="str">
        <f>REPLACE(INDEX(GroupVertices[Group],MATCH("~"&amp;Edges[[#This Row],[Vertex 2]],GroupVertices[Vertex],0)),1,1,"")</f>
        <v>2</v>
      </c>
    </row>
    <row r="491" spans="1:32" ht="15">
      <c r="A491" s="66" t="s">
        <v>652</v>
      </c>
      <c r="B491" s="66" t="s">
        <v>905</v>
      </c>
      <c r="C491" s="67"/>
      <c r="D491" s="68"/>
      <c r="E491" s="69"/>
      <c r="F491" s="70"/>
      <c r="G491" s="67"/>
      <c r="H491" s="71"/>
      <c r="I491" s="72"/>
      <c r="J491" s="72"/>
      <c r="K491" s="35"/>
      <c r="L491" s="80">
        <v>491</v>
      </c>
      <c r="M491" s="80"/>
      <c r="N491" s="74"/>
      <c r="O491" s="82" t="s">
        <v>909</v>
      </c>
      <c r="P491" s="82" t="s">
        <v>197</v>
      </c>
      <c r="Q491" s="85" t="s">
        <v>1397</v>
      </c>
      <c r="R491" s="82" t="s">
        <v>652</v>
      </c>
      <c r="S491" s="82" t="s">
        <v>2118</v>
      </c>
      <c r="T491" s="87" t="str">
        <f>HYPERLINK("http://www.youtube.com/channel/UCgYLRYIJb9KnxdayIRaIfmg")</f>
        <v>http://www.youtube.com/channel/UCgYLRYIJb9KnxdayIRaIfmg</v>
      </c>
      <c r="U491" s="82"/>
      <c r="V491" s="82" t="s">
        <v>2373</v>
      </c>
      <c r="W491" s="87" t="str">
        <f t="shared" si="22"/>
        <v>https://www.youtube.com/watch?v=za6dE5JrNB0</v>
      </c>
      <c r="X491" s="82" t="s">
        <v>2384</v>
      </c>
      <c r="Y491" s="82">
        <v>0</v>
      </c>
      <c r="Z491" s="89">
        <v>44990.49081018518</v>
      </c>
      <c r="AA491" s="89">
        <v>44990.49081018518</v>
      </c>
      <c r="AB491" s="82"/>
      <c r="AC491" s="82"/>
      <c r="AD491" s="85" t="s">
        <v>2423</v>
      </c>
      <c r="AE491" s="84" t="str">
        <f>REPLACE(INDEX(GroupVertices[Group],MATCH("~"&amp;Edges[[#This Row],[Vertex 1]],GroupVertices[Vertex],0)),1,1,"")</f>
        <v>2</v>
      </c>
      <c r="AF491" s="84" t="str">
        <f>REPLACE(INDEX(GroupVertices[Group],MATCH("~"&amp;Edges[[#This Row],[Vertex 2]],GroupVertices[Vertex],0)),1,1,"")</f>
        <v>2</v>
      </c>
    </row>
    <row r="492" spans="1:32" ht="15">
      <c r="A492" s="66" t="s">
        <v>653</v>
      </c>
      <c r="B492" s="66" t="s">
        <v>905</v>
      </c>
      <c r="C492" s="67"/>
      <c r="D492" s="68"/>
      <c r="E492" s="69"/>
      <c r="F492" s="70"/>
      <c r="G492" s="67"/>
      <c r="H492" s="71"/>
      <c r="I492" s="72"/>
      <c r="J492" s="72"/>
      <c r="K492" s="35"/>
      <c r="L492" s="80">
        <v>492</v>
      </c>
      <c r="M492" s="80"/>
      <c r="N492" s="74"/>
      <c r="O492" s="82" t="s">
        <v>909</v>
      </c>
      <c r="P492" s="82" t="s">
        <v>197</v>
      </c>
      <c r="Q492" s="85" t="s">
        <v>1398</v>
      </c>
      <c r="R492" s="82" t="s">
        <v>653</v>
      </c>
      <c r="S492" s="82" t="s">
        <v>2119</v>
      </c>
      <c r="T492" s="87" t="str">
        <f>HYPERLINK("http://www.youtube.com/channel/UCnueLfboUTZDc2lSuMWEdxA")</f>
        <v>http://www.youtube.com/channel/UCnueLfboUTZDc2lSuMWEdxA</v>
      </c>
      <c r="U492" s="82"/>
      <c r="V492" s="82" t="s">
        <v>2373</v>
      </c>
      <c r="W492" s="87" t="str">
        <f t="shared" si="22"/>
        <v>https://www.youtube.com/watch?v=za6dE5JrNB0</v>
      </c>
      <c r="X492" s="82" t="s">
        <v>2384</v>
      </c>
      <c r="Y492" s="82">
        <v>0</v>
      </c>
      <c r="Z492" s="89">
        <v>44990.517604166664</v>
      </c>
      <c r="AA492" s="89">
        <v>44990.517604166664</v>
      </c>
      <c r="AB492" s="82"/>
      <c r="AC492" s="82"/>
      <c r="AD492" s="85" t="s">
        <v>2423</v>
      </c>
      <c r="AE492" s="84" t="str">
        <f>REPLACE(INDEX(GroupVertices[Group],MATCH("~"&amp;Edges[[#This Row],[Vertex 1]],GroupVertices[Vertex],0)),1,1,"")</f>
        <v>2</v>
      </c>
      <c r="AF492" s="84" t="str">
        <f>REPLACE(INDEX(GroupVertices[Group],MATCH("~"&amp;Edges[[#This Row],[Vertex 2]],GroupVertices[Vertex],0)),1,1,"")</f>
        <v>2</v>
      </c>
    </row>
    <row r="493" spans="1:32" ht="15">
      <c r="A493" s="66" t="s">
        <v>654</v>
      </c>
      <c r="B493" s="66" t="s">
        <v>905</v>
      </c>
      <c r="C493" s="67"/>
      <c r="D493" s="68"/>
      <c r="E493" s="69"/>
      <c r="F493" s="70"/>
      <c r="G493" s="67"/>
      <c r="H493" s="71"/>
      <c r="I493" s="72"/>
      <c r="J493" s="72"/>
      <c r="K493" s="35"/>
      <c r="L493" s="80">
        <v>493</v>
      </c>
      <c r="M493" s="80"/>
      <c r="N493" s="74"/>
      <c r="O493" s="82" t="s">
        <v>909</v>
      </c>
      <c r="P493" s="82" t="s">
        <v>197</v>
      </c>
      <c r="Q493" s="85" t="s">
        <v>1399</v>
      </c>
      <c r="R493" s="82" t="s">
        <v>654</v>
      </c>
      <c r="S493" s="82" t="s">
        <v>2120</v>
      </c>
      <c r="T493" s="87" t="str">
        <f>HYPERLINK("http://www.youtube.com/channel/UC8mNzLO1avLPfr3sF6wigJg")</f>
        <v>http://www.youtube.com/channel/UC8mNzLO1avLPfr3sF6wigJg</v>
      </c>
      <c r="U493" s="82"/>
      <c r="V493" s="82" t="s">
        <v>2373</v>
      </c>
      <c r="W493" s="87" t="str">
        <f t="shared" si="22"/>
        <v>https://www.youtube.com/watch?v=za6dE5JrNB0</v>
      </c>
      <c r="X493" s="82" t="s">
        <v>2384</v>
      </c>
      <c r="Y493" s="82">
        <v>0</v>
      </c>
      <c r="Z493" s="89">
        <v>44991.17667824074</v>
      </c>
      <c r="AA493" s="89">
        <v>44991.17667824074</v>
      </c>
      <c r="AB493" s="82"/>
      <c r="AC493" s="82"/>
      <c r="AD493" s="85" t="s">
        <v>2423</v>
      </c>
      <c r="AE493" s="84" t="str">
        <f>REPLACE(INDEX(GroupVertices[Group],MATCH("~"&amp;Edges[[#This Row],[Vertex 1]],GroupVertices[Vertex],0)),1,1,"")</f>
        <v>2</v>
      </c>
      <c r="AF493" s="84" t="str">
        <f>REPLACE(INDEX(GroupVertices[Group],MATCH("~"&amp;Edges[[#This Row],[Vertex 2]],GroupVertices[Vertex],0)),1,1,"")</f>
        <v>2</v>
      </c>
    </row>
    <row r="494" spans="1:32" ht="15">
      <c r="A494" s="66" t="s">
        <v>655</v>
      </c>
      <c r="B494" s="66" t="s">
        <v>905</v>
      </c>
      <c r="C494" s="67"/>
      <c r="D494" s="68"/>
      <c r="E494" s="69"/>
      <c r="F494" s="70"/>
      <c r="G494" s="67"/>
      <c r="H494" s="71"/>
      <c r="I494" s="72"/>
      <c r="J494" s="72"/>
      <c r="K494" s="35"/>
      <c r="L494" s="80">
        <v>494</v>
      </c>
      <c r="M494" s="80"/>
      <c r="N494" s="74"/>
      <c r="O494" s="82" t="s">
        <v>909</v>
      </c>
      <c r="P494" s="82" t="s">
        <v>197</v>
      </c>
      <c r="Q494" s="85" t="s">
        <v>1400</v>
      </c>
      <c r="R494" s="82" t="s">
        <v>655</v>
      </c>
      <c r="S494" s="82" t="s">
        <v>2121</v>
      </c>
      <c r="T494" s="87" t="str">
        <f>HYPERLINK("http://www.youtube.com/channel/UC4W_dHVgcWqOyJ28_FA2kKw")</f>
        <v>http://www.youtube.com/channel/UC4W_dHVgcWqOyJ28_FA2kKw</v>
      </c>
      <c r="U494" s="82"/>
      <c r="V494" s="82" t="s">
        <v>2373</v>
      </c>
      <c r="W494" s="87" t="str">
        <f t="shared" si="22"/>
        <v>https://www.youtube.com/watch?v=za6dE5JrNB0</v>
      </c>
      <c r="X494" s="82" t="s">
        <v>2384</v>
      </c>
      <c r="Y494" s="82">
        <v>0</v>
      </c>
      <c r="Z494" s="89">
        <v>44991.9408912037</v>
      </c>
      <c r="AA494" s="89">
        <v>44991.9408912037</v>
      </c>
      <c r="AB494" s="82"/>
      <c r="AC494" s="82"/>
      <c r="AD494" s="85" t="s">
        <v>2423</v>
      </c>
      <c r="AE494" s="84" t="str">
        <f>REPLACE(INDEX(GroupVertices[Group],MATCH("~"&amp;Edges[[#This Row],[Vertex 1]],GroupVertices[Vertex],0)),1,1,"")</f>
        <v>2</v>
      </c>
      <c r="AF494" s="84" t="str">
        <f>REPLACE(INDEX(GroupVertices[Group],MATCH("~"&amp;Edges[[#This Row],[Vertex 2]],GroupVertices[Vertex],0)),1,1,"")</f>
        <v>2</v>
      </c>
    </row>
    <row r="495" spans="1:32" ht="15">
      <c r="A495" s="66" t="s">
        <v>655</v>
      </c>
      <c r="B495" s="66" t="s">
        <v>905</v>
      </c>
      <c r="C495" s="67"/>
      <c r="D495" s="68"/>
      <c r="E495" s="69"/>
      <c r="F495" s="70"/>
      <c r="G495" s="67"/>
      <c r="H495" s="71"/>
      <c r="I495" s="72"/>
      <c r="J495" s="72"/>
      <c r="K495" s="35"/>
      <c r="L495" s="80">
        <v>495</v>
      </c>
      <c r="M495" s="80"/>
      <c r="N495" s="74"/>
      <c r="O495" s="82" t="s">
        <v>909</v>
      </c>
      <c r="P495" s="82" t="s">
        <v>197</v>
      </c>
      <c r="Q495" s="85" t="s">
        <v>1401</v>
      </c>
      <c r="R495" s="82" t="s">
        <v>655</v>
      </c>
      <c r="S495" s="82" t="s">
        <v>2121</v>
      </c>
      <c r="T495" s="87" t="str">
        <f>HYPERLINK("http://www.youtube.com/channel/UC4W_dHVgcWqOyJ28_FA2kKw")</f>
        <v>http://www.youtube.com/channel/UC4W_dHVgcWqOyJ28_FA2kKw</v>
      </c>
      <c r="U495" s="82"/>
      <c r="V495" s="82" t="s">
        <v>2373</v>
      </c>
      <c r="W495" s="87" t="str">
        <f t="shared" si="22"/>
        <v>https://www.youtube.com/watch?v=za6dE5JrNB0</v>
      </c>
      <c r="X495" s="82" t="s">
        <v>2384</v>
      </c>
      <c r="Y495" s="82">
        <v>0</v>
      </c>
      <c r="Z495" s="89">
        <v>44991.94283564815</v>
      </c>
      <c r="AA495" s="89">
        <v>44991.94283564815</v>
      </c>
      <c r="AB495" s="82"/>
      <c r="AC495" s="82"/>
      <c r="AD495" s="85" t="s">
        <v>2423</v>
      </c>
      <c r="AE495" s="84" t="str">
        <f>REPLACE(INDEX(GroupVertices[Group],MATCH("~"&amp;Edges[[#This Row],[Vertex 1]],GroupVertices[Vertex],0)),1,1,"")</f>
        <v>2</v>
      </c>
      <c r="AF495" s="84" t="str">
        <f>REPLACE(INDEX(GroupVertices[Group],MATCH("~"&amp;Edges[[#This Row],[Vertex 2]],GroupVertices[Vertex],0)),1,1,"")</f>
        <v>2</v>
      </c>
    </row>
    <row r="496" spans="1:32" ht="15">
      <c r="A496" s="66" t="s">
        <v>656</v>
      </c>
      <c r="B496" s="66" t="s">
        <v>905</v>
      </c>
      <c r="C496" s="67"/>
      <c r="D496" s="68"/>
      <c r="E496" s="69"/>
      <c r="F496" s="70"/>
      <c r="G496" s="67"/>
      <c r="H496" s="71"/>
      <c r="I496" s="72"/>
      <c r="J496" s="72"/>
      <c r="K496" s="35"/>
      <c r="L496" s="80">
        <v>496</v>
      </c>
      <c r="M496" s="80"/>
      <c r="N496" s="74"/>
      <c r="O496" s="82" t="s">
        <v>909</v>
      </c>
      <c r="P496" s="82" t="s">
        <v>197</v>
      </c>
      <c r="Q496" s="85" t="s">
        <v>1402</v>
      </c>
      <c r="R496" s="82" t="s">
        <v>656</v>
      </c>
      <c r="S496" s="82" t="s">
        <v>2122</v>
      </c>
      <c r="T496" s="87" t="str">
        <f>HYPERLINK("http://www.youtube.com/channel/UCGM43GpsGVvwu6JubhbgAmg")</f>
        <v>http://www.youtube.com/channel/UCGM43GpsGVvwu6JubhbgAmg</v>
      </c>
      <c r="U496" s="82"/>
      <c r="V496" s="82" t="s">
        <v>2373</v>
      </c>
      <c r="W496" s="87" t="str">
        <f t="shared" si="22"/>
        <v>https://www.youtube.com/watch?v=za6dE5JrNB0</v>
      </c>
      <c r="X496" s="82" t="s">
        <v>2384</v>
      </c>
      <c r="Y496" s="82">
        <v>0</v>
      </c>
      <c r="Z496" s="89">
        <v>44993.9302662037</v>
      </c>
      <c r="AA496" s="89">
        <v>44993.9302662037</v>
      </c>
      <c r="AB496" s="82"/>
      <c r="AC496" s="82"/>
      <c r="AD496" s="85" t="s">
        <v>2423</v>
      </c>
      <c r="AE496" s="84" t="str">
        <f>REPLACE(INDEX(GroupVertices[Group],MATCH("~"&amp;Edges[[#This Row],[Vertex 1]],GroupVertices[Vertex],0)),1,1,"")</f>
        <v>2</v>
      </c>
      <c r="AF496" s="84" t="str">
        <f>REPLACE(INDEX(GroupVertices[Group],MATCH("~"&amp;Edges[[#This Row],[Vertex 2]],GroupVertices[Vertex],0)),1,1,"")</f>
        <v>2</v>
      </c>
    </row>
    <row r="497" spans="1:32" ht="15">
      <c r="A497" s="66" t="s">
        <v>657</v>
      </c>
      <c r="B497" s="66" t="s">
        <v>905</v>
      </c>
      <c r="C497" s="67"/>
      <c r="D497" s="68"/>
      <c r="E497" s="69"/>
      <c r="F497" s="70"/>
      <c r="G497" s="67"/>
      <c r="H497" s="71"/>
      <c r="I497" s="72"/>
      <c r="J497" s="72"/>
      <c r="K497" s="35"/>
      <c r="L497" s="80">
        <v>497</v>
      </c>
      <c r="M497" s="80"/>
      <c r="N497" s="74"/>
      <c r="O497" s="82" t="s">
        <v>909</v>
      </c>
      <c r="P497" s="82" t="s">
        <v>197</v>
      </c>
      <c r="Q497" s="85" t="s">
        <v>1403</v>
      </c>
      <c r="R497" s="82" t="s">
        <v>657</v>
      </c>
      <c r="S497" s="82" t="s">
        <v>2123</v>
      </c>
      <c r="T497" s="87" t="str">
        <f>HYPERLINK("http://www.youtube.com/channel/UC_woIwGBmFRqhM95GpdZEcw")</f>
        <v>http://www.youtube.com/channel/UC_woIwGBmFRqhM95GpdZEcw</v>
      </c>
      <c r="U497" s="82"/>
      <c r="V497" s="82" t="s">
        <v>2373</v>
      </c>
      <c r="W497" s="87" t="str">
        <f t="shared" si="22"/>
        <v>https://www.youtube.com/watch?v=za6dE5JrNB0</v>
      </c>
      <c r="X497" s="82" t="s">
        <v>2384</v>
      </c>
      <c r="Y497" s="82">
        <v>0</v>
      </c>
      <c r="Z497" s="89">
        <v>44994.02972222222</v>
      </c>
      <c r="AA497" s="89">
        <v>44994.02972222222</v>
      </c>
      <c r="AB497" s="82"/>
      <c r="AC497" s="82"/>
      <c r="AD497" s="85" t="s">
        <v>2423</v>
      </c>
      <c r="AE497" s="84" t="str">
        <f>REPLACE(INDEX(GroupVertices[Group],MATCH("~"&amp;Edges[[#This Row],[Vertex 1]],GroupVertices[Vertex],0)),1,1,"")</f>
        <v>2</v>
      </c>
      <c r="AF497" s="84" t="str">
        <f>REPLACE(INDEX(GroupVertices[Group],MATCH("~"&amp;Edges[[#This Row],[Vertex 2]],GroupVertices[Vertex],0)),1,1,"")</f>
        <v>2</v>
      </c>
    </row>
    <row r="498" spans="1:32" ht="15">
      <c r="A498" s="66" t="s">
        <v>658</v>
      </c>
      <c r="B498" s="66" t="s">
        <v>905</v>
      </c>
      <c r="C498" s="67"/>
      <c r="D498" s="68"/>
      <c r="E498" s="69"/>
      <c r="F498" s="70"/>
      <c r="G498" s="67"/>
      <c r="H498" s="71"/>
      <c r="I498" s="72"/>
      <c r="J498" s="72"/>
      <c r="K498" s="35"/>
      <c r="L498" s="80">
        <v>498</v>
      </c>
      <c r="M498" s="80"/>
      <c r="N498" s="74"/>
      <c r="O498" s="82" t="s">
        <v>909</v>
      </c>
      <c r="P498" s="82" t="s">
        <v>197</v>
      </c>
      <c r="Q498" s="85" t="s">
        <v>1404</v>
      </c>
      <c r="R498" s="82" t="s">
        <v>658</v>
      </c>
      <c r="S498" s="82" t="s">
        <v>2124</v>
      </c>
      <c r="T498" s="87" t="str">
        <f>HYPERLINK("http://www.youtube.com/channel/UCYZTfrs99_9oEc8FlT7xfgQ")</f>
        <v>http://www.youtube.com/channel/UCYZTfrs99_9oEc8FlT7xfgQ</v>
      </c>
      <c r="U498" s="82"/>
      <c r="V498" s="82" t="s">
        <v>2373</v>
      </c>
      <c r="W498" s="87" t="str">
        <f t="shared" si="22"/>
        <v>https://www.youtube.com/watch?v=za6dE5JrNB0</v>
      </c>
      <c r="X498" s="82" t="s">
        <v>2384</v>
      </c>
      <c r="Y498" s="82">
        <v>0</v>
      </c>
      <c r="Z498" s="89">
        <v>44994.09449074074</v>
      </c>
      <c r="AA498" s="89">
        <v>44994.09449074074</v>
      </c>
      <c r="AB498" s="82"/>
      <c r="AC498" s="82"/>
      <c r="AD498" s="85" t="s">
        <v>2423</v>
      </c>
      <c r="AE498" s="84" t="str">
        <f>REPLACE(INDEX(GroupVertices[Group],MATCH("~"&amp;Edges[[#This Row],[Vertex 1]],GroupVertices[Vertex],0)),1,1,"")</f>
        <v>2</v>
      </c>
      <c r="AF498" s="84" t="str">
        <f>REPLACE(INDEX(GroupVertices[Group],MATCH("~"&amp;Edges[[#This Row],[Vertex 2]],GroupVertices[Vertex],0)),1,1,"")</f>
        <v>2</v>
      </c>
    </row>
    <row r="499" spans="1:32" ht="15">
      <c r="A499" s="66" t="s">
        <v>659</v>
      </c>
      <c r="B499" s="66" t="s">
        <v>905</v>
      </c>
      <c r="C499" s="67"/>
      <c r="D499" s="68"/>
      <c r="E499" s="69"/>
      <c r="F499" s="70"/>
      <c r="G499" s="67"/>
      <c r="H499" s="71"/>
      <c r="I499" s="72"/>
      <c r="J499" s="72"/>
      <c r="K499" s="35"/>
      <c r="L499" s="80">
        <v>499</v>
      </c>
      <c r="M499" s="80"/>
      <c r="N499" s="74"/>
      <c r="O499" s="82" t="s">
        <v>909</v>
      </c>
      <c r="P499" s="82" t="s">
        <v>197</v>
      </c>
      <c r="Q499" s="85" t="s">
        <v>1405</v>
      </c>
      <c r="R499" s="82" t="s">
        <v>659</v>
      </c>
      <c r="S499" s="82" t="s">
        <v>2125</v>
      </c>
      <c r="T499" s="87" t="str">
        <f>HYPERLINK("http://www.youtube.com/channel/UC8Eu4NZFw1_bxYf4ayLLi2g")</f>
        <v>http://www.youtube.com/channel/UC8Eu4NZFw1_bxYf4ayLLi2g</v>
      </c>
      <c r="U499" s="82"/>
      <c r="V499" s="82" t="s">
        <v>2373</v>
      </c>
      <c r="W499" s="87" t="str">
        <f t="shared" si="22"/>
        <v>https://www.youtube.com/watch?v=za6dE5JrNB0</v>
      </c>
      <c r="X499" s="82" t="s">
        <v>2384</v>
      </c>
      <c r="Y499" s="82">
        <v>1</v>
      </c>
      <c r="Z499" s="89">
        <v>44994.73677083333</v>
      </c>
      <c r="AA499" s="89">
        <v>44994.73677083333</v>
      </c>
      <c r="AB499" s="82"/>
      <c r="AC499" s="82"/>
      <c r="AD499" s="85" t="s">
        <v>2423</v>
      </c>
      <c r="AE499" s="84" t="str">
        <f>REPLACE(INDEX(GroupVertices[Group],MATCH("~"&amp;Edges[[#This Row],[Vertex 1]],GroupVertices[Vertex],0)),1,1,"")</f>
        <v>2</v>
      </c>
      <c r="AF499" s="84" t="str">
        <f>REPLACE(INDEX(GroupVertices[Group],MATCH("~"&amp;Edges[[#This Row],[Vertex 2]],GroupVertices[Vertex],0)),1,1,"")</f>
        <v>2</v>
      </c>
    </row>
    <row r="500" spans="1:32" ht="15">
      <c r="A500" s="66" t="s">
        <v>660</v>
      </c>
      <c r="B500" s="66" t="s">
        <v>905</v>
      </c>
      <c r="C500" s="67"/>
      <c r="D500" s="68"/>
      <c r="E500" s="69"/>
      <c r="F500" s="70"/>
      <c r="G500" s="67"/>
      <c r="H500" s="71"/>
      <c r="I500" s="72"/>
      <c r="J500" s="72"/>
      <c r="K500" s="35"/>
      <c r="L500" s="80">
        <v>500</v>
      </c>
      <c r="M500" s="80"/>
      <c r="N500" s="74"/>
      <c r="O500" s="82" t="s">
        <v>909</v>
      </c>
      <c r="P500" s="82" t="s">
        <v>197</v>
      </c>
      <c r="Q500" s="85" t="s">
        <v>1406</v>
      </c>
      <c r="R500" s="82" t="s">
        <v>660</v>
      </c>
      <c r="S500" s="82" t="s">
        <v>2126</v>
      </c>
      <c r="T500" s="87" t="str">
        <f>HYPERLINK("http://www.youtube.com/channel/UCVcETuUxx8xl57_Dcmzfczw")</f>
        <v>http://www.youtube.com/channel/UCVcETuUxx8xl57_Dcmzfczw</v>
      </c>
      <c r="U500" s="82"/>
      <c r="V500" s="82" t="s">
        <v>2373</v>
      </c>
      <c r="W500" s="87" t="str">
        <f t="shared" si="22"/>
        <v>https://www.youtube.com/watch?v=za6dE5JrNB0</v>
      </c>
      <c r="X500" s="82" t="s">
        <v>2384</v>
      </c>
      <c r="Y500" s="82">
        <v>1</v>
      </c>
      <c r="Z500" s="89">
        <v>44994.86703703704</v>
      </c>
      <c r="AA500" s="89">
        <v>44994.86730324074</v>
      </c>
      <c r="AB500" s="82"/>
      <c r="AC500" s="82"/>
      <c r="AD500" s="85" t="s">
        <v>2423</v>
      </c>
      <c r="AE500" s="84" t="str">
        <f>REPLACE(INDEX(GroupVertices[Group],MATCH("~"&amp;Edges[[#This Row],[Vertex 1]],GroupVertices[Vertex],0)),1,1,"")</f>
        <v>2</v>
      </c>
      <c r="AF500" s="84" t="str">
        <f>REPLACE(INDEX(GroupVertices[Group],MATCH("~"&amp;Edges[[#This Row],[Vertex 2]],GroupVertices[Vertex],0)),1,1,"")</f>
        <v>2</v>
      </c>
    </row>
    <row r="501" spans="1:32" ht="15">
      <c r="A501" s="66" t="s">
        <v>661</v>
      </c>
      <c r="B501" s="66" t="s">
        <v>905</v>
      </c>
      <c r="C501" s="67"/>
      <c r="D501" s="68"/>
      <c r="E501" s="69"/>
      <c r="F501" s="70"/>
      <c r="G501" s="67"/>
      <c r="H501" s="71"/>
      <c r="I501" s="72"/>
      <c r="J501" s="72"/>
      <c r="K501" s="35"/>
      <c r="L501" s="80">
        <v>501</v>
      </c>
      <c r="M501" s="80"/>
      <c r="N501" s="74"/>
      <c r="O501" s="82" t="s">
        <v>909</v>
      </c>
      <c r="P501" s="82" t="s">
        <v>197</v>
      </c>
      <c r="Q501" s="85" t="s">
        <v>1407</v>
      </c>
      <c r="R501" s="82" t="s">
        <v>661</v>
      </c>
      <c r="S501" s="82" t="s">
        <v>2127</v>
      </c>
      <c r="T501" s="87" t="str">
        <f>HYPERLINK("http://www.youtube.com/channel/UCrYsIxhLwq8C7PP2jI7iPew")</f>
        <v>http://www.youtube.com/channel/UCrYsIxhLwq8C7PP2jI7iPew</v>
      </c>
      <c r="U501" s="82"/>
      <c r="V501" s="82" t="s">
        <v>2373</v>
      </c>
      <c r="W501" s="87" t="str">
        <f t="shared" si="22"/>
        <v>https://www.youtube.com/watch?v=za6dE5JrNB0</v>
      </c>
      <c r="X501" s="82" t="s">
        <v>2384</v>
      </c>
      <c r="Y501" s="82">
        <v>0</v>
      </c>
      <c r="Z501" s="89">
        <v>44995.43351851852</v>
      </c>
      <c r="AA501" s="89">
        <v>44995.43351851852</v>
      </c>
      <c r="AB501" s="82"/>
      <c r="AC501" s="82"/>
      <c r="AD501" s="85" t="s">
        <v>2423</v>
      </c>
      <c r="AE501" s="84" t="str">
        <f>REPLACE(INDEX(GroupVertices[Group],MATCH("~"&amp;Edges[[#This Row],[Vertex 1]],GroupVertices[Vertex],0)),1,1,"")</f>
        <v>2</v>
      </c>
      <c r="AF501" s="84" t="str">
        <f>REPLACE(INDEX(GroupVertices[Group],MATCH("~"&amp;Edges[[#This Row],[Vertex 2]],GroupVertices[Vertex],0)),1,1,"")</f>
        <v>2</v>
      </c>
    </row>
    <row r="502" spans="1:32" ht="15">
      <c r="A502" s="66" t="s">
        <v>662</v>
      </c>
      <c r="B502" s="66" t="s">
        <v>905</v>
      </c>
      <c r="C502" s="67"/>
      <c r="D502" s="68"/>
      <c r="E502" s="69"/>
      <c r="F502" s="70"/>
      <c r="G502" s="67"/>
      <c r="H502" s="71"/>
      <c r="I502" s="72"/>
      <c r="J502" s="72"/>
      <c r="K502" s="35"/>
      <c r="L502" s="80">
        <v>502</v>
      </c>
      <c r="M502" s="80"/>
      <c r="N502" s="74"/>
      <c r="O502" s="82" t="s">
        <v>909</v>
      </c>
      <c r="P502" s="82" t="s">
        <v>197</v>
      </c>
      <c r="Q502" s="85" t="s">
        <v>1408</v>
      </c>
      <c r="R502" s="82" t="s">
        <v>662</v>
      </c>
      <c r="S502" s="82" t="s">
        <v>2128</v>
      </c>
      <c r="T502" s="87" t="str">
        <f>HYPERLINK("http://www.youtube.com/channel/UCR2iUmmCxRX7wKlQTFYH0tw")</f>
        <v>http://www.youtube.com/channel/UCR2iUmmCxRX7wKlQTFYH0tw</v>
      </c>
      <c r="U502" s="82"/>
      <c r="V502" s="82" t="s">
        <v>2373</v>
      </c>
      <c r="W502" s="87" t="str">
        <f t="shared" si="22"/>
        <v>https://www.youtube.com/watch?v=za6dE5JrNB0</v>
      </c>
      <c r="X502" s="82" t="s">
        <v>2384</v>
      </c>
      <c r="Y502" s="82">
        <v>1</v>
      </c>
      <c r="Z502" s="89">
        <v>44995.46011574074</v>
      </c>
      <c r="AA502" s="89">
        <v>44995.46011574074</v>
      </c>
      <c r="AB502" s="82"/>
      <c r="AC502" s="82"/>
      <c r="AD502" s="85" t="s">
        <v>2423</v>
      </c>
      <c r="AE502" s="84" t="str">
        <f>REPLACE(INDEX(GroupVertices[Group],MATCH("~"&amp;Edges[[#This Row],[Vertex 1]],GroupVertices[Vertex],0)),1,1,"")</f>
        <v>2</v>
      </c>
      <c r="AF502" s="84" t="str">
        <f>REPLACE(INDEX(GroupVertices[Group],MATCH("~"&amp;Edges[[#This Row],[Vertex 2]],GroupVertices[Vertex],0)),1,1,"")</f>
        <v>2</v>
      </c>
    </row>
    <row r="503" spans="1:32" ht="15">
      <c r="A503" s="66" t="s">
        <v>663</v>
      </c>
      <c r="B503" s="66" t="s">
        <v>905</v>
      </c>
      <c r="C503" s="67"/>
      <c r="D503" s="68"/>
      <c r="E503" s="69"/>
      <c r="F503" s="70"/>
      <c r="G503" s="67"/>
      <c r="H503" s="71"/>
      <c r="I503" s="72"/>
      <c r="J503" s="72"/>
      <c r="K503" s="35"/>
      <c r="L503" s="80">
        <v>503</v>
      </c>
      <c r="M503" s="80"/>
      <c r="N503" s="74"/>
      <c r="O503" s="82" t="s">
        <v>909</v>
      </c>
      <c r="P503" s="82" t="s">
        <v>197</v>
      </c>
      <c r="Q503" s="85" t="s">
        <v>1409</v>
      </c>
      <c r="R503" s="82" t="s">
        <v>663</v>
      </c>
      <c r="S503" s="82" t="s">
        <v>2129</v>
      </c>
      <c r="T503" s="87" t="str">
        <f>HYPERLINK("http://www.youtube.com/channel/UCuan2-3xzF7HUHM8cHGgp5w")</f>
        <v>http://www.youtube.com/channel/UCuan2-3xzF7HUHM8cHGgp5w</v>
      </c>
      <c r="U503" s="82"/>
      <c r="V503" s="82" t="s">
        <v>2373</v>
      </c>
      <c r="W503" s="87" t="str">
        <f t="shared" si="22"/>
        <v>https://www.youtube.com/watch?v=za6dE5JrNB0</v>
      </c>
      <c r="X503" s="82" t="s">
        <v>2384</v>
      </c>
      <c r="Y503" s="82">
        <v>0</v>
      </c>
      <c r="Z503" s="89">
        <v>44996.19881944444</v>
      </c>
      <c r="AA503" s="89">
        <v>44996.19881944444</v>
      </c>
      <c r="AB503" s="82"/>
      <c r="AC503" s="82"/>
      <c r="AD503" s="85" t="s">
        <v>2423</v>
      </c>
      <c r="AE503" s="84" t="str">
        <f>REPLACE(INDEX(GroupVertices[Group],MATCH("~"&amp;Edges[[#This Row],[Vertex 1]],GroupVertices[Vertex],0)),1,1,"")</f>
        <v>2</v>
      </c>
      <c r="AF503" s="84" t="str">
        <f>REPLACE(INDEX(GroupVertices[Group],MATCH("~"&amp;Edges[[#This Row],[Vertex 2]],GroupVertices[Vertex],0)),1,1,"")</f>
        <v>2</v>
      </c>
    </row>
    <row r="504" spans="1:32" ht="15">
      <c r="A504" s="66" t="s">
        <v>664</v>
      </c>
      <c r="B504" s="66" t="s">
        <v>905</v>
      </c>
      <c r="C504" s="67"/>
      <c r="D504" s="68"/>
      <c r="E504" s="69"/>
      <c r="F504" s="70"/>
      <c r="G504" s="67"/>
      <c r="H504" s="71"/>
      <c r="I504" s="72"/>
      <c r="J504" s="72"/>
      <c r="K504" s="35"/>
      <c r="L504" s="80">
        <v>504</v>
      </c>
      <c r="M504" s="80"/>
      <c r="N504" s="74"/>
      <c r="O504" s="82" t="s">
        <v>909</v>
      </c>
      <c r="P504" s="82" t="s">
        <v>197</v>
      </c>
      <c r="Q504" s="85" t="s">
        <v>1410</v>
      </c>
      <c r="R504" s="82" t="s">
        <v>664</v>
      </c>
      <c r="S504" s="82" t="s">
        <v>2130</v>
      </c>
      <c r="T504" s="87" t="str">
        <f>HYPERLINK("http://www.youtube.com/channel/UC7fV28N1iBF0AzOCvAPljsA")</f>
        <v>http://www.youtube.com/channel/UC7fV28N1iBF0AzOCvAPljsA</v>
      </c>
      <c r="U504" s="82"/>
      <c r="V504" s="82" t="s">
        <v>2373</v>
      </c>
      <c r="W504" s="87" t="str">
        <f t="shared" si="22"/>
        <v>https://www.youtube.com/watch?v=za6dE5JrNB0</v>
      </c>
      <c r="X504" s="82" t="s">
        <v>2384</v>
      </c>
      <c r="Y504" s="82">
        <v>0</v>
      </c>
      <c r="Z504" s="89">
        <v>44996.24202546296</v>
      </c>
      <c r="AA504" s="89">
        <v>44996.24202546296</v>
      </c>
      <c r="AB504" s="82"/>
      <c r="AC504" s="82"/>
      <c r="AD504" s="85" t="s">
        <v>2423</v>
      </c>
      <c r="AE504" s="84" t="str">
        <f>REPLACE(INDEX(GroupVertices[Group],MATCH("~"&amp;Edges[[#This Row],[Vertex 1]],GroupVertices[Vertex],0)),1,1,"")</f>
        <v>2</v>
      </c>
      <c r="AF504" s="84" t="str">
        <f>REPLACE(INDEX(GroupVertices[Group],MATCH("~"&amp;Edges[[#This Row],[Vertex 2]],GroupVertices[Vertex],0)),1,1,"")</f>
        <v>2</v>
      </c>
    </row>
    <row r="505" spans="1:32" ht="15">
      <c r="A505" s="66" t="s">
        <v>665</v>
      </c>
      <c r="B505" s="66" t="s">
        <v>905</v>
      </c>
      <c r="C505" s="67"/>
      <c r="D505" s="68"/>
      <c r="E505" s="69"/>
      <c r="F505" s="70"/>
      <c r="G505" s="67"/>
      <c r="H505" s="71"/>
      <c r="I505" s="72"/>
      <c r="J505" s="72"/>
      <c r="K505" s="35"/>
      <c r="L505" s="80">
        <v>505</v>
      </c>
      <c r="M505" s="80"/>
      <c r="N505" s="74"/>
      <c r="O505" s="82" t="s">
        <v>909</v>
      </c>
      <c r="P505" s="82" t="s">
        <v>197</v>
      </c>
      <c r="Q505" s="85" t="s">
        <v>1411</v>
      </c>
      <c r="R505" s="82" t="s">
        <v>665</v>
      </c>
      <c r="S505" s="82" t="s">
        <v>2131</v>
      </c>
      <c r="T505" s="87" t="str">
        <f>HYPERLINK("http://www.youtube.com/channel/UC6oC5WtM72f9H0P_VCjSZNQ")</f>
        <v>http://www.youtube.com/channel/UC6oC5WtM72f9H0P_VCjSZNQ</v>
      </c>
      <c r="U505" s="82"/>
      <c r="V505" s="82" t="s">
        <v>2373</v>
      </c>
      <c r="W505" s="87" t="str">
        <f t="shared" si="22"/>
        <v>https://www.youtube.com/watch?v=za6dE5JrNB0</v>
      </c>
      <c r="X505" s="82" t="s">
        <v>2384</v>
      </c>
      <c r="Y505" s="82">
        <v>0</v>
      </c>
      <c r="Z505" s="89">
        <v>44999.01170138889</v>
      </c>
      <c r="AA505" s="89">
        <v>44999.01170138889</v>
      </c>
      <c r="AB505" s="82"/>
      <c r="AC505" s="82"/>
      <c r="AD505" s="85" t="s">
        <v>2423</v>
      </c>
      <c r="AE505" s="84" t="str">
        <f>REPLACE(INDEX(GroupVertices[Group],MATCH("~"&amp;Edges[[#This Row],[Vertex 1]],GroupVertices[Vertex],0)),1,1,"")</f>
        <v>2</v>
      </c>
      <c r="AF505" s="84" t="str">
        <f>REPLACE(INDEX(GroupVertices[Group],MATCH("~"&amp;Edges[[#This Row],[Vertex 2]],GroupVertices[Vertex],0)),1,1,"")</f>
        <v>2</v>
      </c>
    </row>
    <row r="506" spans="1:32" ht="15">
      <c r="A506" s="66" t="s">
        <v>666</v>
      </c>
      <c r="B506" s="66" t="s">
        <v>905</v>
      </c>
      <c r="C506" s="67"/>
      <c r="D506" s="68"/>
      <c r="E506" s="69"/>
      <c r="F506" s="70"/>
      <c r="G506" s="67"/>
      <c r="H506" s="71"/>
      <c r="I506" s="72"/>
      <c r="J506" s="72"/>
      <c r="K506" s="35"/>
      <c r="L506" s="80">
        <v>506</v>
      </c>
      <c r="M506" s="80"/>
      <c r="N506" s="74"/>
      <c r="O506" s="82" t="s">
        <v>909</v>
      </c>
      <c r="P506" s="82" t="s">
        <v>197</v>
      </c>
      <c r="Q506" s="85" t="s">
        <v>1412</v>
      </c>
      <c r="R506" s="82" t="s">
        <v>666</v>
      </c>
      <c r="S506" s="82" t="s">
        <v>2132</v>
      </c>
      <c r="T506" s="87" t="str">
        <f>HYPERLINK("http://www.youtube.com/channel/UCnUOERpIiTahkJIERCyCqvw")</f>
        <v>http://www.youtube.com/channel/UCnUOERpIiTahkJIERCyCqvw</v>
      </c>
      <c r="U506" s="82"/>
      <c r="V506" s="82" t="s">
        <v>2373</v>
      </c>
      <c r="W506" s="87" t="str">
        <f t="shared" si="22"/>
        <v>https://www.youtube.com/watch?v=za6dE5JrNB0</v>
      </c>
      <c r="X506" s="82" t="s">
        <v>2384</v>
      </c>
      <c r="Y506" s="82">
        <v>0</v>
      </c>
      <c r="Z506" s="89">
        <v>44999.13636574074</v>
      </c>
      <c r="AA506" s="89">
        <v>44999.13636574074</v>
      </c>
      <c r="AB506" s="82"/>
      <c r="AC506" s="82"/>
      <c r="AD506" s="85" t="s">
        <v>2423</v>
      </c>
      <c r="AE506" s="84" t="str">
        <f>REPLACE(INDEX(GroupVertices[Group],MATCH("~"&amp;Edges[[#This Row],[Vertex 1]],GroupVertices[Vertex],0)),1,1,"")</f>
        <v>2</v>
      </c>
      <c r="AF506" s="84" t="str">
        <f>REPLACE(INDEX(GroupVertices[Group],MATCH("~"&amp;Edges[[#This Row],[Vertex 2]],GroupVertices[Vertex],0)),1,1,"")</f>
        <v>2</v>
      </c>
    </row>
    <row r="507" spans="1:32" ht="15">
      <c r="A507" s="66" t="s">
        <v>667</v>
      </c>
      <c r="B507" s="66" t="s">
        <v>905</v>
      </c>
      <c r="C507" s="67"/>
      <c r="D507" s="68"/>
      <c r="E507" s="69"/>
      <c r="F507" s="70"/>
      <c r="G507" s="67"/>
      <c r="H507" s="71"/>
      <c r="I507" s="72"/>
      <c r="J507" s="72"/>
      <c r="K507" s="35"/>
      <c r="L507" s="80">
        <v>507</v>
      </c>
      <c r="M507" s="80"/>
      <c r="N507" s="74"/>
      <c r="O507" s="82" t="s">
        <v>909</v>
      </c>
      <c r="P507" s="82" t="s">
        <v>197</v>
      </c>
      <c r="Q507" s="85" t="s">
        <v>1413</v>
      </c>
      <c r="R507" s="82" t="s">
        <v>667</v>
      </c>
      <c r="S507" s="82" t="s">
        <v>2133</v>
      </c>
      <c r="T507" s="87" t="str">
        <f>HYPERLINK("http://www.youtube.com/channel/UCibi5J-2WxLl4W7SMt1W9Dg")</f>
        <v>http://www.youtube.com/channel/UCibi5J-2WxLl4W7SMt1W9Dg</v>
      </c>
      <c r="U507" s="82"/>
      <c r="V507" s="82" t="s">
        <v>2373</v>
      </c>
      <c r="W507" s="87" t="str">
        <f t="shared" si="22"/>
        <v>https://www.youtube.com/watch?v=za6dE5JrNB0</v>
      </c>
      <c r="X507" s="82" t="s">
        <v>2384</v>
      </c>
      <c r="Y507" s="82">
        <v>0</v>
      </c>
      <c r="Z507" s="89">
        <v>44999.63679398148</v>
      </c>
      <c r="AA507" s="89">
        <v>44999.63679398148</v>
      </c>
      <c r="AB507" s="82"/>
      <c r="AC507" s="82"/>
      <c r="AD507" s="85" t="s">
        <v>2423</v>
      </c>
      <c r="AE507" s="84" t="str">
        <f>REPLACE(INDEX(GroupVertices[Group],MATCH("~"&amp;Edges[[#This Row],[Vertex 1]],GroupVertices[Vertex],0)),1,1,"")</f>
        <v>2</v>
      </c>
      <c r="AF507" s="84" t="str">
        <f>REPLACE(INDEX(GroupVertices[Group],MATCH("~"&amp;Edges[[#This Row],[Vertex 2]],GroupVertices[Vertex],0)),1,1,"")</f>
        <v>2</v>
      </c>
    </row>
    <row r="508" spans="1:32" ht="15">
      <c r="A508" s="66" t="s">
        <v>668</v>
      </c>
      <c r="B508" s="66" t="s">
        <v>905</v>
      </c>
      <c r="C508" s="67"/>
      <c r="D508" s="68"/>
      <c r="E508" s="69"/>
      <c r="F508" s="70"/>
      <c r="G508" s="67"/>
      <c r="H508" s="71"/>
      <c r="I508" s="72"/>
      <c r="J508" s="72"/>
      <c r="K508" s="35"/>
      <c r="L508" s="80">
        <v>508</v>
      </c>
      <c r="M508" s="80"/>
      <c r="N508" s="74"/>
      <c r="O508" s="82" t="s">
        <v>909</v>
      </c>
      <c r="P508" s="82" t="s">
        <v>197</v>
      </c>
      <c r="Q508" s="85" t="s">
        <v>1414</v>
      </c>
      <c r="R508" s="82" t="s">
        <v>668</v>
      </c>
      <c r="S508" s="82" t="s">
        <v>2134</v>
      </c>
      <c r="T508" s="87" t="str">
        <f>HYPERLINK("http://www.youtube.com/channel/UCDOoyWgBUlOIffMGG6qMf4Q")</f>
        <v>http://www.youtube.com/channel/UCDOoyWgBUlOIffMGG6qMf4Q</v>
      </c>
      <c r="U508" s="82"/>
      <c r="V508" s="82" t="s">
        <v>2373</v>
      </c>
      <c r="W508" s="87" t="str">
        <f t="shared" si="22"/>
        <v>https://www.youtube.com/watch?v=za6dE5JrNB0</v>
      </c>
      <c r="X508" s="82" t="s">
        <v>2384</v>
      </c>
      <c r="Y508" s="82">
        <v>0</v>
      </c>
      <c r="Z508" s="89">
        <v>45001.85621527778</v>
      </c>
      <c r="AA508" s="89">
        <v>45001.85621527778</v>
      </c>
      <c r="AB508" s="82"/>
      <c r="AC508" s="82"/>
      <c r="AD508" s="85" t="s">
        <v>2423</v>
      </c>
      <c r="AE508" s="84" t="str">
        <f>REPLACE(INDEX(GroupVertices[Group],MATCH("~"&amp;Edges[[#This Row],[Vertex 1]],GroupVertices[Vertex],0)),1,1,"")</f>
        <v>2</v>
      </c>
      <c r="AF508" s="84" t="str">
        <f>REPLACE(INDEX(GroupVertices[Group],MATCH("~"&amp;Edges[[#This Row],[Vertex 2]],GroupVertices[Vertex],0)),1,1,"")</f>
        <v>2</v>
      </c>
    </row>
    <row r="509" spans="1:32" ht="15">
      <c r="A509" s="66" t="s">
        <v>669</v>
      </c>
      <c r="B509" s="66" t="s">
        <v>905</v>
      </c>
      <c r="C509" s="67"/>
      <c r="D509" s="68"/>
      <c r="E509" s="69"/>
      <c r="F509" s="70"/>
      <c r="G509" s="67"/>
      <c r="H509" s="71"/>
      <c r="I509" s="72"/>
      <c r="J509" s="72"/>
      <c r="K509" s="35"/>
      <c r="L509" s="80">
        <v>509</v>
      </c>
      <c r="M509" s="80"/>
      <c r="N509" s="74"/>
      <c r="O509" s="82" t="s">
        <v>909</v>
      </c>
      <c r="P509" s="82" t="s">
        <v>197</v>
      </c>
      <c r="Q509" s="85" t="s">
        <v>1415</v>
      </c>
      <c r="R509" s="82" t="s">
        <v>669</v>
      </c>
      <c r="S509" s="82" t="s">
        <v>2135</v>
      </c>
      <c r="T509" s="87" t="str">
        <f>HYPERLINK("http://www.youtube.com/channel/UCgbZpB5Mlkvj1rmzI2yhsTQ")</f>
        <v>http://www.youtube.com/channel/UCgbZpB5Mlkvj1rmzI2yhsTQ</v>
      </c>
      <c r="U509" s="82"/>
      <c r="V509" s="82" t="s">
        <v>2373</v>
      </c>
      <c r="W509" s="87" t="str">
        <f t="shared" si="22"/>
        <v>https://www.youtube.com/watch?v=za6dE5JrNB0</v>
      </c>
      <c r="X509" s="82" t="s">
        <v>2384</v>
      </c>
      <c r="Y509" s="82">
        <v>0</v>
      </c>
      <c r="Z509" s="89">
        <v>45003.08436342593</v>
      </c>
      <c r="AA509" s="89">
        <v>45003.08436342593</v>
      </c>
      <c r="AB509" s="82"/>
      <c r="AC509" s="82"/>
      <c r="AD509" s="85" t="s">
        <v>2423</v>
      </c>
      <c r="AE509" s="84" t="str">
        <f>REPLACE(INDEX(GroupVertices[Group],MATCH("~"&amp;Edges[[#This Row],[Vertex 1]],GroupVertices[Vertex],0)),1,1,"")</f>
        <v>2</v>
      </c>
      <c r="AF509" s="84" t="str">
        <f>REPLACE(INDEX(GroupVertices[Group],MATCH("~"&amp;Edges[[#This Row],[Vertex 2]],GroupVertices[Vertex],0)),1,1,"")</f>
        <v>2</v>
      </c>
    </row>
    <row r="510" spans="1:32" ht="15">
      <c r="A510" s="66" t="s">
        <v>670</v>
      </c>
      <c r="B510" s="66" t="s">
        <v>905</v>
      </c>
      <c r="C510" s="67"/>
      <c r="D510" s="68"/>
      <c r="E510" s="69"/>
      <c r="F510" s="70"/>
      <c r="G510" s="67"/>
      <c r="H510" s="71"/>
      <c r="I510" s="72"/>
      <c r="J510" s="72"/>
      <c r="K510" s="35"/>
      <c r="L510" s="80">
        <v>510</v>
      </c>
      <c r="M510" s="80"/>
      <c r="N510" s="74"/>
      <c r="O510" s="82" t="s">
        <v>909</v>
      </c>
      <c r="P510" s="82" t="s">
        <v>197</v>
      </c>
      <c r="Q510" s="85" t="s">
        <v>1416</v>
      </c>
      <c r="R510" s="82" t="s">
        <v>670</v>
      </c>
      <c r="S510" s="82" t="s">
        <v>2136</v>
      </c>
      <c r="T510" s="87" t="str">
        <f>HYPERLINK("http://www.youtube.com/channel/UCk3LpgzoOhBd2oEvmbxW4FQ")</f>
        <v>http://www.youtube.com/channel/UCk3LpgzoOhBd2oEvmbxW4FQ</v>
      </c>
      <c r="U510" s="82"/>
      <c r="V510" s="82" t="s">
        <v>2373</v>
      </c>
      <c r="W510" s="87" t="str">
        <f t="shared" si="22"/>
        <v>https://www.youtube.com/watch?v=za6dE5JrNB0</v>
      </c>
      <c r="X510" s="82" t="s">
        <v>2384</v>
      </c>
      <c r="Y510" s="82">
        <v>0</v>
      </c>
      <c r="Z510" s="89">
        <v>45004.376284722224</v>
      </c>
      <c r="AA510" s="89">
        <v>45004.398888888885</v>
      </c>
      <c r="AB510" s="82"/>
      <c r="AC510" s="82"/>
      <c r="AD510" s="85" t="s">
        <v>2423</v>
      </c>
      <c r="AE510" s="84" t="str">
        <f>REPLACE(INDEX(GroupVertices[Group],MATCH("~"&amp;Edges[[#This Row],[Vertex 1]],GroupVertices[Vertex],0)),1,1,"")</f>
        <v>2</v>
      </c>
      <c r="AF510" s="84" t="str">
        <f>REPLACE(INDEX(GroupVertices[Group],MATCH("~"&amp;Edges[[#This Row],[Vertex 2]],GroupVertices[Vertex],0)),1,1,"")</f>
        <v>2</v>
      </c>
    </row>
    <row r="511" spans="1:32" ht="15">
      <c r="A511" s="66" t="s">
        <v>671</v>
      </c>
      <c r="B511" s="66" t="s">
        <v>905</v>
      </c>
      <c r="C511" s="67"/>
      <c r="D511" s="68"/>
      <c r="E511" s="69"/>
      <c r="F511" s="70"/>
      <c r="G511" s="67"/>
      <c r="H511" s="71"/>
      <c r="I511" s="72"/>
      <c r="J511" s="72"/>
      <c r="K511" s="35"/>
      <c r="L511" s="80">
        <v>511</v>
      </c>
      <c r="M511" s="80"/>
      <c r="N511" s="74"/>
      <c r="O511" s="82" t="s">
        <v>909</v>
      </c>
      <c r="P511" s="82" t="s">
        <v>197</v>
      </c>
      <c r="Q511" s="85" t="s">
        <v>1417</v>
      </c>
      <c r="R511" s="82" t="s">
        <v>671</v>
      </c>
      <c r="S511" s="82" t="s">
        <v>2137</v>
      </c>
      <c r="T511" s="87" t="str">
        <f>HYPERLINK("http://www.youtube.com/channel/UC3EuEcNNIg0UQSX6Nh0Wh-g")</f>
        <v>http://www.youtube.com/channel/UC3EuEcNNIg0UQSX6Nh0Wh-g</v>
      </c>
      <c r="U511" s="82"/>
      <c r="V511" s="82" t="s">
        <v>2373</v>
      </c>
      <c r="W511" s="87" t="str">
        <f t="shared" si="22"/>
        <v>https://www.youtube.com/watch?v=za6dE5JrNB0</v>
      </c>
      <c r="X511" s="82" t="s">
        <v>2384</v>
      </c>
      <c r="Y511" s="82">
        <v>0</v>
      </c>
      <c r="Z511" s="89">
        <v>45006.52943287037</v>
      </c>
      <c r="AA511" s="89">
        <v>45006.52943287037</v>
      </c>
      <c r="AB511" s="82" t="s">
        <v>2406</v>
      </c>
      <c r="AC511" s="82" t="s">
        <v>2414</v>
      </c>
      <c r="AD511" s="85" t="s">
        <v>2423</v>
      </c>
      <c r="AE511" s="84" t="str">
        <f>REPLACE(INDEX(GroupVertices[Group],MATCH("~"&amp;Edges[[#This Row],[Vertex 1]],GroupVertices[Vertex],0)),1,1,"")</f>
        <v>2</v>
      </c>
      <c r="AF511" s="84" t="str">
        <f>REPLACE(INDEX(GroupVertices[Group],MATCH("~"&amp;Edges[[#This Row],[Vertex 2]],GroupVertices[Vertex],0)),1,1,"")</f>
        <v>2</v>
      </c>
    </row>
    <row r="512" spans="1:32" ht="15">
      <c r="A512" s="66" t="s">
        <v>672</v>
      </c>
      <c r="B512" s="66" t="s">
        <v>905</v>
      </c>
      <c r="C512" s="67"/>
      <c r="D512" s="68"/>
      <c r="E512" s="69"/>
      <c r="F512" s="70"/>
      <c r="G512" s="67"/>
      <c r="H512" s="71"/>
      <c r="I512" s="72"/>
      <c r="J512" s="72"/>
      <c r="K512" s="35"/>
      <c r="L512" s="80">
        <v>512</v>
      </c>
      <c r="M512" s="80"/>
      <c r="N512" s="74"/>
      <c r="O512" s="82" t="s">
        <v>909</v>
      </c>
      <c r="P512" s="82" t="s">
        <v>197</v>
      </c>
      <c r="Q512" s="85" t="s">
        <v>1418</v>
      </c>
      <c r="R512" s="82" t="s">
        <v>672</v>
      </c>
      <c r="S512" s="82" t="s">
        <v>2138</v>
      </c>
      <c r="T512" s="87" t="str">
        <f>HYPERLINK("http://www.youtube.com/channel/UCdgjP0_qabhlzlHQi4F6f3Q")</f>
        <v>http://www.youtube.com/channel/UCdgjP0_qabhlzlHQi4F6f3Q</v>
      </c>
      <c r="U512" s="82"/>
      <c r="V512" s="82" t="s">
        <v>2373</v>
      </c>
      <c r="W512" s="87" t="str">
        <f t="shared" si="22"/>
        <v>https://www.youtube.com/watch?v=za6dE5JrNB0</v>
      </c>
      <c r="X512" s="82" t="s">
        <v>2384</v>
      </c>
      <c r="Y512" s="82">
        <v>0</v>
      </c>
      <c r="Z512" s="89">
        <v>45009.68545138889</v>
      </c>
      <c r="AA512" s="89">
        <v>45009.69731481482</v>
      </c>
      <c r="AB512" s="82"/>
      <c r="AC512" s="82"/>
      <c r="AD512" s="85" t="s">
        <v>2423</v>
      </c>
      <c r="AE512" s="84" t="str">
        <f>REPLACE(INDEX(GroupVertices[Group],MATCH("~"&amp;Edges[[#This Row],[Vertex 1]],GroupVertices[Vertex],0)),1,1,"")</f>
        <v>2</v>
      </c>
      <c r="AF512" s="84" t="str">
        <f>REPLACE(INDEX(GroupVertices[Group],MATCH("~"&amp;Edges[[#This Row],[Vertex 2]],GroupVertices[Vertex],0)),1,1,"")</f>
        <v>2</v>
      </c>
    </row>
    <row r="513" spans="1:32" ht="15">
      <c r="A513" s="66" t="s">
        <v>673</v>
      </c>
      <c r="B513" s="66" t="s">
        <v>905</v>
      </c>
      <c r="C513" s="67"/>
      <c r="D513" s="68"/>
      <c r="E513" s="69"/>
      <c r="F513" s="70"/>
      <c r="G513" s="67"/>
      <c r="H513" s="71"/>
      <c r="I513" s="72"/>
      <c r="J513" s="72"/>
      <c r="K513" s="35"/>
      <c r="L513" s="80">
        <v>513</v>
      </c>
      <c r="M513" s="80"/>
      <c r="N513" s="74"/>
      <c r="O513" s="82" t="s">
        <v>909</v>
      </c>
      <c r="P513" s="82" t="s">
        <v>197</v>
      </c>
      <c r="Q513" s="85" t="s">
        <v>1419</v>
      </c>
      <c r="R513" s="82" t="s">
        <v>673</v>
      </c>
      <c r="S513" s="82" t="s">
        <v>2139</v>
      </c>
      <c r="T513" s="87" t="str">
        <f>HYPERLINK("http://www.youtube.com/channel/UCDQJbkCU-bw60C5jWloiK5w")</f>
        <v>http://www.youtube.com/channel/UCDQJbkCU-bw60C5jWloiK5w</v>
      </c>
      <c r="U513" s="82"/>
      <c r="V513" s="82" t="s">
        <v>2373</v>
      </c>
      <c r="W513" s="87" t="str">
        <f t="shared" si="22"/>
        <v>https://www.youtube.com/watch?v=za6dE5JrNB0</v>
      </c>
      <c r="X513" s="82" t="s">
        <v>2384</v>
      </c>
      <c r="Y513" s="82">
        <v>0</v>
      </c>
      <c r="Z513" s="89">
        <v>45010.12118055556</v>
      </c>
      <c r="AA513" s="89">
        <v>45010.12118055556</v>
      </c>
      <c r="AB513" s="82"/>
      <c r="AC513" s="82"/>
      <c r="AD513" s="85" t="s">
        <v>2423</v>
      </c>
      <c r="AE513" s="84" t="str">
        <f>REPLACE(INDEX(GroupVertices[Group],MATCH("~"&amp;Edges[[#This Row],[Vertex 1]],GroupVertices[Vertex],0)),1,1,"")</f>
        <v>2</v>
      </c>
      <c r="AF513" s="84" t="str">
        <f>REPLACE(INDEX(GroupVertices[Group],MATCH("~"&amp;Edges[[#This Row],[Vertex 2]],GroupVertices[Vertex],0)),1,1,"")</f>
        <v>2</v>
      </c>
    </row>
    <row r="514" spans="1:32" ht="15">
      <c r="A514" s="66" t="s">
        <v>674</v>
      </c>
      <c r="B514" s="66" t="s">
        <v>905</v>
      </c>
      <c r="C514" s="67"/>
      <c r="D514" s="68"/>
      <c r="E514" s="69"/>
      <c r="F514" s="70"/>
      <c r="G514" s="67"/>
      <c r="H514" s="71"/>
      <c r="I514" s="72"/>
      <c r="J514" s="72"/>
      <c r="K514" s="35"/>
      <c r="L514" s="80">
        <v>514</v>
      </c>
      <c r="M514" s="80"/>
      <c r="N514" s="74"/>
      <c r="O514" s="82" t="s">
        <v>909</v>
      </c>
      <c r="P514" s="82" t="s">
        <v>197</v>
      </c>
      <c r="Q514" s="85" t="s">
        <v>1420</v>
      </c>
      <c r="R514" s="82" t="s">
        <v>674</v>
      </c>
      <c r="S514" s="82" t="s">
        <v>2140</v>
      </c>
      <c r="T514" s="87" t="str">
        <f>HYPERLINK("http://www.youtube.com/channel/UCffo7y78j8FY7LpvGImlNtw")</f>
        <v>http://www.youtube.com/channel/UCffo7y78j8FY7LpvGImlNtw</v>
      </c>
      <c r="U514" s="82"/>
      <c r="V514" s="82" t="s">
        <v>2373</v>
      </c>
      <c r="W514" s="87" t="str">
        <f t="shared" si="22"/>
        <v>https://www.youtube.com/watch?v=za6dE5JrNB0</v>
      </c>
      <c r="X514" s="82" t="s">
        <v>2384</v>
      </c>
      <c r="Y514" s="82">
        <v>0</v>
      </c>
      <c r="Z514" s="89">
        <v>45012.024097222224</v>
      </c>
      <c r="AA514" s="89">
        <v>45012.024097222224</v>
      </c>
      <c r="AB514" s="82"/>
      <c r="AC514" s="82"/>
      <c r="AD514" s="85" t="s">
        <v>2423</v>
      </c>
      <c r="AE514" s="84" t="str">
        <f>REPLACE(INDEX(GroupVertices[Group],MATCH("~"&amp;Edges[[#This Row],[Vertex 1]],GroupVertices[Vertex],0)),1,1,"")</f>
        <v>2</v>
      </c>
      <c r="AF514" s="84" t="str">
        <f>REPLACE(INDEX(GroupVertices[Group],MATCH("~"&amp;Edges[[#This Row],[Vertex 2]],GroupVertices[Vertex],0)),1,1,"")</f>
        <v>2</v>
      </c>
    </row>
    <row r="515" spans="1:32" ht="15">
      <c r="A515" s="66" t="s">
        <v>675</v>
      </c>
      <c r="B515" s="66" t="s">
        <v>899</v>
      </c>
      <c r="C515" s="67"/>
      <c r="D515" s="68"/>
      <c r="E515" s="69"/>
      <c r="F515" s="70"/>
      <c r="G515" s="67"/>
      <c r="H515" s="71"/>
      <c r="I515" s="72"/>
      <c r="J515" s="72"/>
      <c r="K515" s="35"/>
      <c r="L515" s="80">
        <v>515</v>
      </c>
      <c r="M515" s="80"/>
      <c r="N515" s="74"/>
      <c r="O515" s="82" t="s">
        <v>909</v>
      </c>
      <c r="P515" s="82" t="s">
        <v>197</v>
      </c>
      <c r="Q515" s="85" t="s">
        <v>1421</v>
      </c>
      <c r="R515" s="82" t="s">
        <v>675</v>
      </c>
      <c r="S515" s="82" t="s">
        <v>2141</v>
      </c>
      <c r="T515" s="87" t="str">
        <f>HYPERLINK("http://www.youtube.com/channel/UC9cuLEioDn1As9tqu-8zHzQ")</f>
        <v>http://www.youtube.com/channel/UC9cuLEioDn1As9tqu-8zHzQ</v>
      </c>
      <c r="U515" s="82"/>
      <c r="V515" s="82" t="s">
        <v>2366</v>
      </c>
      <c r="W515" s="87" t="str">
        <f>HYPERLINK("https://www.youtube.com/watch?v=sgOEGKDVvsg")</f>
        <v>https://www.youtube.com/watch?v=sgOEGKDVvsg</v>
      </c>
      <c r="X515" s="82" t="s">
        <v>2384</v>
      </c>
      <c r="Y515" s="82">
        <v>0</v>
      </c>
      <c r="Z515" s="89">
        <v>45194.67612268519</v>
      </c>
      <c r="AA515" s="89">
        <v>45194.67612268519</v>
      </c>
      <c r="AB515" s="82"/>
      <c r="AC515" s="82"/>
      <c r="AD515" s="85" t="s">
        <v>2423</v>
      </c>
      <c r="AE515" s="84" t="str">
        <f>REPLACE(INDEX(GroupVertices[Group],MATCH("~"&amp;Edges[[#This Row],[Vertex 1]],GroupVertices[Vertex],0)),1,1,"")</f>
        <v>7</v>
      </c>
      <c r="AF515" s="84" t="str">
        <f>REPLACE(INDEX(GroupVertices[Group],MATCH("~"&amp;Edges[[#This Row],[Vertex 2]],GroupVertices[Vertex],0)),1,1,"")</f>
        <v>7</v>
      </c>
    </row>
    <row r="516" spans="1:32" ht="15">
      <c r="A516" s="66" t="s">
        <v>675</v>
      </c>
      <c r="B516" s="66" t="s">
        <v>905</v>
      </c>
      <c r="C516" s="67"/>
      <c r="D516" s="68"/>
      <c r="E516" s="69"/>
      <c r="F516" s="70"/>
      <c r="G516" s="67"/>
      <c r="H516" s="71"/>
      <c r="I516" s="72"/>
      <c r="J516" s="72"/>
      <c r="K516" s="35"/>
      <c r="L516" s="80">
        <v>516</v>
      </c>
      <c r="M516" s="80"/>
      <c r="N516" s="74"/>
      <c r="O516" s="82" t="s">
        <v>909</v>
      </c>
      <c r="P516" s="82" t="s">
        <v>197</v>
      </c>
      <c r="Q516" s="85" t="s">
        <v>1422</v>
      </c>
      <c r="R516" s="82" t="s">
        <v>675</v>
      </c>
      <c r="S516" s="82" t="s">
        <v>2141</v>
      </c>
      <c r="T516" s="87" t="str">
        <f>HYPERLINK("http://www.youtube.com/channel/UC9cuLEioDn1As9tqu-8zHzQ")</f>
        <v>http://www.youtube.com/channel/UC9cuLEioDn1As9tqu-8zHzQ</v>
      </c>
      <c r="U516" s="82"/>
      <c r="V516" s="82" t="s">
        <v>2373</v>
      </c>
      <c r="W516" s="87" t="str">
        <f aca="true" t="shared" si="23" ref="W516:W524">HYPERLINK("https://www.youtube.com/watch?v=za6dE5JrNB0")</f>
        <v>https://www.youtube.com/watch?v=za6dE5JrNB0</v>
      </c>
      <c r="X516" s="82" t="s">
        <v>2384</v>
      </c>
      <c r="Y516" s="82">
        <v>0</v>
      </c>
      <c r="Z516" s="89">
        <v>45017.19611111111</v>
      </c>
      <c r="AA516" s="89">
        <v>45017.19611111111</v>
      </c>
      <c r="AB516" s="82"/>
      <c r="AC516" s="82"/>
      <c r="AD516" s="85" t="s">
        <v>2423</v>
      </c>
      <c r="AE516" s="84" t="str">
        <f>REPLACE(INDEX(GroupVertices[Group],MATCH("~"&amp;Edges[[#This Row],[Vertex 1]],GroupVertices[Vertex],0)),1,1,"")</f>
        <v>7</v>
      </c>
      <c r="AF516" s="84" t="str">
        <f>REPLACE(INDEX(GroupVertices[Group],MATCH("~"&amp;Edges[[#This Row],[Vertex 2]],GroupVertices[Vertex],0)),1,1,"")</f>
        <v>2</v>
      </c>
    </row>
    <row r="517" spans="1:32" ht="15">
      <c r="A517" s="66" t="s">
        <v>676</v>
      </c>
      <c r="B517" s="66" t="s">
        <v>905</v>
      </c>
      <c r="C517" s="67"/>
      <c r="D517" s="68"/>
      <c r="E517" s="69"/>
      <c r="F517" s="70"/>
      <c r="G517" s="67"/>
      <c r="H517" s="71"/>
      <c r="I517" s="72"/>
      <c r="J517" s="72"/>
      <c r="K517" s="35"/>
      <c r="L517" s="80">
        <v>517</v>
      </c>
      <c r="M517" s="80"/>
      <c r="N517" s="74"/>
      <c r="O517" s="82" t="s">
        <v>909</v>
      </c>
      <c r="P517" s="82" t="s">
        <v>197</v>
      </c>
      <c r="Q517" s="85" t="s">
        <v>1423</v>
      </c>
      <c r="R517" s="82" t="s">
        <v>676</v>
      </c>
      <c r="S517" s="82" t="s">
        <v>2142</v>
      </c>
      <c r="T517" s="87" t="str">
        <f>HYPERLINK("http://www.youtube.com/channel/UCj-buA1HiXucf5YyMyc-YJQ")</f>
        <v>http://www.youtube.com/channel/UCj-buA1HiXucf5YyMyc-YJQ</v>
      </c>
      <c r="U517" s="82"/>
      <c r="V517" s="82" t="s">
        <v>2373</v>
      </c>
      <c r="W517" s="87" t="str">
        <f t="shared" si="23"/>
        <v>https://www.youtube.com/watch?v=za6dE5JrNB0</v>
      </c>
      <c r="X517" s="82" t="s">
        <v>2384</v>
      </c>
      <c r="Y517" s="82">
        <v>0</v>
      </c>
      <c r="Z517" s="89">
        <v>45017.431597222225</v>
      </c>
      <c r="AA517" s="89">
        <v>45017.431597222225</v>
      </c>
      <c r="AB517" s="82"/>
      <c r="AC517" s="82"/>
      <c r="AD517" s="85" t="s">
        <v>2423</v>
      </c>
      <c r="AE517" s="84" t="str">
        <f>REPLACE(INDEX(GroupVertices[Group],MATCH("~"&amp;Edges[[#This Row],[Vertex 1]],GroupVertices[Vertex],0)),1,1,"")</f>
        <v>2</v>
      </c>
      <c r="AF517" s="84" t="str">
        <f>REPLACE(INDEX(GroupVertices[Group],MATCH("~"&amp;Edges[[#This Row],[Vertex 2]],GroupVertices[Vertex],0)),1,1,"")</f>
        <v>2</v>
      </c>
    </row>
    <row r="518" spans="1:32" ht="15">
      <c r="A518" s="66" t="s">
        <v>676</v>
      </c>
      <c r="B518" s="66" t="s">
        <v>905</v>
      </c>
      <c r="C518" s="67"/>
      <c r="D518" s="68"/>
      <c r="E518" s="69"/>
      <c r="F518" s="70"/>
      <c r="G518" s="67"/>
      <c r="H518" s="71"/>
      <c r="I518" s="72"/>
      <c r="J518" s="72"/>
      <c r="K518" s="35"/>
      <c r="L518" s="80">
        <v>518</v>
      </c>
      <c r="M518" s="80"/>
      <c r="N518" s="74"/>
      <c r="O518" s="82" t="s">
        <v>909</v>
      </c>
      <c r="P518" s="82" t="s">
        <v>197</v>
      </c>
      <c r="Q518" s="85" t="s">
        <v>1424</v>
      </c>
      <c r="R518" s="82" t="s">
        <v>676</v>
      </c>
      <c r="S518" s="82" t="s">
        <v>2142</v>
      </c>
      <c r="T518" s="87" t="str">
        <f>HYPERLINK("http://www.youtube.com/channel/UCj-buA1HiXucf5YyMyc-YJQ")</f>
        <v>http://www.youtube.com/channel/UCj-buA1HiXucf5YyMyc-YJQ</v>
      </c>
      <c r="U518" s="82"/>
      <c r="V518" s="82" t="s">
        <v>2373</v>
      </c>
      <c r="W518" s="87" t="str">
        <f t="shared" si="23"/>
        <v>https://www.youtube.com/watch?v=za6dE5JrNB0</v>
      </c>
      <c r="X518" s="82" t="s">
        <v>2384</v>
      </c>
      <c r="Y518" s="82">
        <v>0</v>
      </c>
      <c r="Z518" s="89">
        <v>45017.43237268519</v>
      </c>
      <c r="AA518" s="89">
        <v>45017.43237268519</v>
      </c>
      <c r="AB518" s="82"/>
      <c r="AC518" s="82"/>
      <c r="AD518" s="85" t="s">
        <v>2423</v>
      </c>
      <c r="AE518" s="84" t="str">
        <f>REPLACE(INDEX(GroupVertices[Group],MATCH("~"&amp;Edges[[#This Row],[Vertex 1]],GroupVertices[Vertex],0)),1,1,"")</f>
        <v>2</v>
      </c>
      <c r="AF518" s="84" t="str">
        <f>REPLACE(INDEX(GroupVertices[Group],MATCH("~"&amp;Edges[[#This Row],[Vertex 2]],GroupVertices[Vertex],0)),1,1,"")</f>
        <v>2</v>
      </c>
    </row>
    <row r="519" spans="1:32" ht="15">
      <c r="A519" s="66" t="s">
        <v>677</v>
      </c>
      <c r="B519" s="66" t="s">
        <v>905</v>
      </c>
      <c r="C519" s="67"/>
      <c r="D519" s="68"/>
      <c r="E519" s="69"/>
      <c r="F519" s="70"/>
      <c r="G519" s="67"/>
      <c r="H519" s="71"/>
      <c r="I519" s="72"/>
      <c r="J519" s="72"/>
      <c r="K519" s="35"/>
      <c r="L519" s="80">
        <v>519</v>
      </c>
      <c r="M519" s="80"/>
      <c r="N519" s="74"/>
      <c r="O519" s="82" t="s">
        <v>909</v>
      </c>
      <c r="P519" s="82" t="s">
        <v>197</v>
      </c>
      <c r="Q519" s="85" t="s">
        <v>1425</v>
      </c>
      <c r="R519" s="82" t="s">
        <v>677</v>
      </c>
      <c r="S519" s="82" t="s">
        <v>2143</v>
      </c>
      <c r="T519" s="87" t="str">
        <f>HYPERLINK("http://www.youtube.com/channel/UCocZWg7OOiR8TEA4Oz_qM5w")</f>
        <v>http://www.youtube.com/channel/UCocZWg7OOiR8TEA4Oz_qM5w</v>
      </c>
      <c r="U519" s="82"/>
      <c r="V519" s="82" t="s">
        <v>2373</v>
      </c>
      <c r="W519" s="87" t="str">
        <f t="shared" si="23"/>
        <v>https://www.youtube.com/watch?v=za6dE5JrNB0</v>
      </c>
      <c r="X519" s="82" t="s">
        <v>2384</v>
      </c>
      <c r="Y519" s="82">
        <v>0</v>
      </c>
      <c r="Z519" s="89">
        <v>45018.187939814816</v>
      </c>
      <c r="AA519" s="89">
        <v>45018.187939814816</v>
      </c>
      <c r="AB519" s="82"/>
      <c r="AC519" s="82"/>
      <c r="AD519" s="85" t="s">
        <v>2423</v>
      </c>
      <c r="AE519" s="84" t="str">
        <f>REPLACE(INDEX(GroupVertices[Group],MATCH("~"&amp;Edges[[#This Row],[Vertex 1]],GroupVertices[Vertex],0)),1,1,"")</f>
        <v>2</v>
      </c>
      <c r="AF519" s="84" t="str">
        <f>REPLACE(INDEX(GroupVertices[Group],MATCH("~"&amp;Edges[[#This Row],[Vertex 2]],GroupVertices[Vertex],0)),1,1,"")</f>
        <v>2</v>
      </c>
    </row>
    <row r="520" spans="1:32" ht="15">
      <c r="A520" s="66" t="s">
        <v>678</v>
      </c>
      <c r="B520" s="66" t="s">
        <v>905</v>
      </c>
      <c r="C520" s="67"/>
      <c r="D520" s="68"/>
      <c r="E520" s="69"/>
      <c r="F520" s="70"/>
      <c r="G520" s="67"/>
      <c r="H520" s="71"/>
      <c r="I520" s="72"/>
      <c r="J520" s="72"/>
      <c r="K520" s="35"/>
      <c r="L520" s="80">
        <v>520</v>
      </c>
      <c r="M520" s="80"/>
      <c r="N520" s="74"/>
      <c r="O520" s="82" t="s">
        <v>909</v>
      </c>
      <c r="P520" s="82" t="s">
        <v>197</v>
      </c>
      <c r="Q520" s="85" t="s">
        <v>1426</v>
      </c>
      <c r="R520" s="82" t="s">
        <v>678</v>
      </c>
      <c r="S520" s="82" t="s">
        <v>2144</v>
      </c>
      <c r="T520" s="87" t="str">
        <f>HYPERLINK("http://www.youtube.com/channel/UCchKeQfGiP0vCh_Z47NnHLg")</f>
        <v>http://www.youtube.com/channel/UCchKeQfGiP0vCh_Z47NnHLg</v>
      </c>
      <c r="U520" s="82"/>
      <c r="V520" s="82" t="s">
        <v>2373</v>
      </c>
      <c r="W520" s="87" t="str">
        <f t="shared" si="23"/>
        <v>https://www.youtube.com/watch?v=za6dE5JrNB0</v>
      </c>
      <c r="X520" s="82" t="s">
        <v>2384</v>
      </c>
      <c r="Y520" s="82">
        <v>0</v>
      </c>
      <c r="Z520" s="89">
        <v>45022.426041666666</v>
      </c>
      <c r="AA520" s="89">
        <v>45022.426041666666</v>
      </c>
      <c r="AB520" s="82"/>
      <c r="AC520" s="82"/>
      <c r="AD520" s="85" t="s">
        <v>2423</v>
      </c>
      <c r="AE520" s="84" t="str">
        <f>REPLACE(INDEX(GroupVertices[Group],MATCH("~"&amp;Edges[[#This Row],[Vertex 1]],GroupVertices[Vertex],0)),1,1,"")</f>
        <v>2</v>
      </c>
      <c r="AF520" s="84" t="str">
        <f>REPLACE(INDEX(GroupVertices[Group],MATCH("~"&amp;Edges[[#This Row],[Vertex 2]],GroupVertices[Vertex],0)),1,1,"")</f>
        <v>2</v>
      </c>
    </row>
    <row r="521" spans="1:32" ht="15">
      <c r="A521" s="66" t="s">
        <v>679</v>
      </c>
      <c r="B521" s="66" t="s">
        <v>905</v>
      </c>
      <c r="C521" s="67"/>
      <c r="D521" s="68"/>
      <c r="E521" s="69"/>
      <c r="F521" s="70"/>
      <c r="G521" s="67"/>
      <c r="H521" s="71"/>
      <c r="I521" s="72"/>
      <c r="J521" s="72"/>
      <c r="K521" s="35"/>
      <c r="L521" s="80">
        <v>521</v>
      </c>
      <c r="M521" s="80"/>
      <c r="N521" s="74"/>
      <c r="O521" s="82" t="s">
        <v>909</v>
      </c>
      <c r="P521" s="82" t="s">
        <v>197</v>
      </c>
      <c r="Q521" s="85" t="s">
        <v>1427</v>
      </c>
      <c r="R521" s="82" t="s">
        <v>679</v>
      </c>
      <c r="S521" s="82" t="s">
        <v>2145</v>
      </c>
      <c r="T521" s="87" t="str">
        <f>HYPERLINK("http://www.youtube.com/channel/UC1CbSDBl4oSk9IZ9q1lH3gg")</f>
        <v>http://www.youtube.com/channel/UC1CbSDBl4oSk9IZ9q1lH3gg</v>
      </c>
      <c r="U521" s="82"/>
      <c r="V521" s="82" t="s">
        <v>2373</v>
      </c>
      <c r="W521" s="87" t="str">
        <f t="shared" si="23"/>
        <v>https://www.youtube.com/watch?v=za6dE5JrNB0</v>
      </c>
      <c r="X521" s="82" t="s">
        <v>2384</v>
      </c>
      <c r="Y521" s="82">
        <v>0</v>
      </c>
      <c r="Z521" s="89">
        <v>45026.04950231482</v>
      </c>
      <c r="AA521" s="89">
        <v>45026.04950231482</v>
      </c>
      <c r="AB521" s="82"/>
      <c r="AC521" s="82"/>
      <c r="AD521" s="85" t="s">
        <v>2423</v>
      </c>
      <c r="AE521" s="84" t="str">
        <f>REPLACE(INDEX(GroupVertices[Group],MATCH("~"&amp;Edges[[#This Row],[Vertex 1]],GroupVertices[Vertex],0)),1,1,"")</f>
        <v>2</v>
      </c>
      <c r="AF521" s="84" t="str">
        <f>REPLACE(INDEX(GroupVertices[Group],MATCH("~"&amp;Edges[[#This Row],[Vertex 2]],GroupVertices[Vertex],0)),1,1,"")</f>
        <v>2</v>
      </c>
    </row>
    <row r="522" spans="1:32" ht="15">
      <c r="A522" s="66" t="s">
        <v>680</v>
      </c>
      <c r="B522" s="66" t="s">
        <v>905</v>
      </c>
      <c r="C522" s="67"/>
      <c r="D522" s="68"/>
      <c r="E522" s="69"/>
      <c r="F522" s="70"/>
      <c r="G522" s="67"/>
      <c r="H522" s="71"/>
      <c r="I522" s="72"/>
      <c r="J522" s="72"/>
      <c r="K522" s="35"/>
      <c r="L522" s="80">
        <v>522</v>
      </c>
      <c r="M522" s="80"/>
      <c r="N522" s="74"/>
      <c r="O522" s="82" t="s">
        <v>909</v>
      </c>
      <c r="P522" s="82" t="s">
        <v>197</v>
      </c>
      <c r="Q522" s="85" t="s">
        <v>1428</v>
      </c>
      <c r="R522" s="82" t="s">
        <v>680</v>
      </c>
      <c r="S522" s="82" t="s">
        <v>2146</v>
      </c>
      <c r="T522" s="87" t="str">
        <f>HYPERLINK("http://www.youtube.com/channel/UCdKu7f4_xvDk76cBywWEYqA")</f>
        <v>http://www.youtube.com/channel/UCdKu7f4_xvDk76cBywWEYqA</v>
      </c>
      <c r="U522" s="82"/>
      <c r="V522" s="82" t="s">
        <v>2373</v>
      </c>
      <c r="W522" s="87" t="str">
        <f t="shared" si="23"/>
        <v>https://www.youtube.com/watch?v=za6dE5JrNB0</v>
      </c>
      <c r="X522" s="82" t="s">
        <v>2384</v>
      </c>
      <c r="Y522" s="82">
        <v>0</v>
      </c>
      <c r="Z522" s="89">
        <v>45031.85123842592</v>
      </c>
      <c r="AA522" s="89">
        <v>45031.85123842592</v>
      </c>
      <c r="AB522" s="82"/>
      <c r="AC522" s="82"/>
      <c r="AD522" s="85" t="s">
        <v>2423</v>
      </c>
      <c r="AE522" s="84" t="str">
        <f>REPLACE(INDEX(GroupVertices[Group],MATCH("~"&amp;Edges[[#This Row],[Vertex 1]],GroupVertices[Vertex],0)),1,1,"")</f>
        <v>2</v>
      </c>
      <c r="AF522" s="84" t="str">
        <f>REPLACE(INDEX(GroupVertices[Group],MATCH("~"&amp;Edges[[#This Row],[Vertex 2]],GroupVertices[Vertex],0)),1,1,"")</f>
        <v>2</v>
      </c>
    </row>
    <row r="523" spans="1:32" ht="15">
      <c r="A523" s="66" t="s">
        <v>681</v>
      </c>
      <c r="B523" s="66" t="s">
        <v>905</v>
      </c>
      <c r="C523" s="67"/>
      <c r="D523" s="68"/>
      <c r="E523" s="69"/>
      <c r="F523" s="70"/>
      <c r="G523" s="67"/>
      <c r="H523" s="71"/>
      <c r="I523" s="72"/>
      <c r="J523" s="72"/>
      <c r="K523" s="35"/>
      <c r="L523" s="80">
        <v>523</v>
      </c>
      <c r="M523" s="80"/>
      <c r="N523" s="74"/>
      <c r="O523" s="82" t="s">
        <v>909</v>
      </c>
      <c r="P523" s="82" t="s">
        <v>197</v>
      </c>
      <c r="Q523" s="85" t="s">
        <v>1429</v>
      </c>
      <c r="R523" s="82" t="s">
        <v>681</v>
      </c>
      <c r="S523" s="82" t="s">
        <v>2147</v>
      </c>
      <c r="T523" s="87" t="str">
        <f>HYPERLINK("http://www.youtube.com/channel/UCMCMHhN7IaRxwHrtKmHvReQ")</f>
        <v>http://www.youtube.com/channel/UCMCMHhN7IaRxwHrtKmHvReQ</v>
      </c>
      <c r="U523" s="82"/>
      <c r="V523" s="82" t="s">
        <v>2373</v>
      </c>
      <c r="W523" s="87" t="str">
        <f t="shared" si="23"/>
        <v>https://www.youtube.com/watch?v=za6dE5JrNB0</v>
      </c>
      <c r="X523" s="82" t="s">
        <v>2384</v>
      </c>
      <c r="Y523" s="82">
        <v>0</v>
      </c>
      <c r="Z523" s="89">
        <v>45035.07373842593</v>
      </c>
      <c r="AA523" s="89">
        <v>45035.07373842593</v>
      </c>
      <c r="AB523" s="82"/>
      <c r="AC523" s="82"/>
      <c r="AD523" s="85" t="s">
        <v>2423</v>
      </c>
      <c r="AE523" s="84" t="str">
        <f>REPLACE(INDEX(GroupVertices[Group],MATCH("~"&amp;Edges[[#This Row],[Vertex 1]],GroupVertices[Vertex],0)),1,1,"")</f>
        <v>2</v>
      </c>
      <c r="AF523" s="84" t="str">
        <f>REPLACE(INDEX(GroupVertices[Group],MATCH("~"&amp;Edges[[#This Row],[Vertex 2]],GroupVertices[Vertex],0)),1,1,"")</f>
        <v>2</v>
      </c>
    </row>
    <row r="524" spans="1:32" ht="15">
      <c r="A524" s="66" t="s">
        <v>682</v>
      </c>
      <c r="B524" s="66" t="s">
        <v>905</v>
      </c>
      <c r="C524" s="67"/>
      <c r="D524" s="68"/>
      <c r="E524" s="69"/>
      <c r="F524" s="70"/>
      <c r="G524" s="67"/>
      <c r="H524" s="71"/>
      <c r="I524" s="72"/>
      <c r="J524" s="72"/>
      <c r="K524" s="35"/>
      <c r="L524" s="80">
        <v>524</v>
      </c>
      <c r="M524" s="80"/>
      <c r="N524" s="74"/>
      <c r="O524" s="82" t="s">
        <v>909</v>
      </c>
      <c r="P524" s="82" t="s">
        <v>197</v>
      </c>
      <c r="Q524" s="85" t="s">
        <v>1430</v>
      </c>
      <c r="R524" s="82" t="s">
        <v>682</v>
      </c>
      <c r="S524" s="82" t="s">
        <v>2148</v>
      </c>
      <c r="T524" s="87" t="str">
        <f>HYPERLINK("http://www.youtube.com/channel/UC1qlEOupoRrYWn63A1UB6pA")</f>
        <v>http://www.youtube.com/channel/UC1qlEOupoRrYWn63A1UB6pA</v>
      </c>
      <c r="U524" s="82"/>
      <c r="V524" s="82" t="s">
        <v>2373</v>
      </c>
      <c r="W524" s="87" t="str">
        <f t="shared" si="23"/>
        <v>https://www.youtube.com/watch?v=za6dE5JrNB0</v>
      </c>
      <c r="X524" s="82" t="s">
        <v>2384</v>
      </c>
      <c r="Y524" s="82">
        <v>0</v>
      </c>
      <c r="Z524" s="89">
        <v>45038.218773148146</v>
      </c>
      <c r="AA524" s="89">
        <v>45038.218773148146</v>
      </c>
      <c r="AB524" s="82"/>
      <c r="AC524" s="82"/>
      <c r="AD524" s="85" t="s">
        <v>2423</v>
      </c>
      <c r="AE524" s="84" t="str">
        <f>REPLACE(INDEX(GroupVertices[Group],MATCH("~"&amp;Edges[[#This Row],[Vertex 1]],GroupVertices[Vertex],0)),1,1,"")</f>
        <v>2</v>
      </c>
      <c r="AF524" s="84" t="str">
        <f>REPLACE(INDEX(GroupVertices[Group],MATCH("~"&amp;Edges[[#This Row],[Vertex 2]],GroupVertices[Vertex],0)),1,1,"")</f>
        <v>2</v>
      </c>
    </row>
    <row r="525" spans="1:32" ht="15">
      <c r="A525" s="66" t="s">
        <v>683</v>
      </c>
      <c r="B525" s="66" t="s">
        <v>901</v>
      </c>
      <c r="C525" s="67"/>
      <c r="D525" s="68"/>
      <c r="E525" s="69"/>
      <c r="F525" s="70"/>
      <c r="G525" s="67"/>
      <c r="H525" s="71"/>
      <c r="I525" s="72"/>
      <c r="J525" s="72"/>
      <c r="K525" s="35"/>
      <c r="L525" s="80">
        <v>525</v>
      </c>
      <c r="M525" s="80"/>
      <c r="N525" s="74"/>
      <c r="O525" s="82" t="s">
        <v>909</v>
      </c>
      <c r="P525" s="82" t="s">
        <v>197</v>
      </c>
      <c r="Q525" s="85" t="s">
        <v>1431</v>
      </c>
      <c r="R525" s="82" t="s">
        <v>683</v>
      </c>
      <c r="S525" s="82" t="s">
        <v>2149</v>
      </c>
      <c r="T525" s="87" t="str">
        <f>HYPERLINK("http://www.youtube.com/channel/UCSGZgStO6y2d5BSb14cSsYw")</f>
        <v>http://www.youtube.com/channel/UCSGZgStO6y2d5BSb14cSsYw</v>
      </c>
      <c r="U525" s="82"/>
      <c r="V525" s="82" t="s">
        <v>2368</v>
      </c>
      <c r="W525" s="87" t="str">
        <f>HYPERLINK("https://www.youtube.com/watch?v=gLvkWpnzba8")</f>
        <v>https://www.youtube.com/watch?v=gLvkWpnzba8</v>
      </c>
      <c r="X525" s="82" t="s">
        <v>2384</v>
      </c>
      <c r="Y525" s="82">
        <v>4</v>
      </c>
      <c r="Z525" s="89">
        <v>45253.66622685185</v>
      </c>
      <c r="AA525" s="89">
        <v>45253.66622685185</v>
      </c>
      <c r="AB525" s="82"/>
      <c r="AC525" s="82"/>
      <c r="AD525" s="85" t="s">
        <v>2423</v>
      </c>
      <c r="AE525" s="84" t="str">
        <f>REPLACE(INDEX(GroupVertices[Group],MATCH("~"&amp;Edges[[#This Row],[Vertex 1]],GroupVertices[Vertex],0)),1,1,"")</f>
        <v>6</v>
      </c>
      <c r="AF525" s="84" t="str">
        <f>REPLACE(INDEX(GroupVertices[Group],MATCH("~"&amp;Edges[[#This Row],[Vertex 2]],GroupVertices[Vertex],0)),1,1,"")</f>
        <v>6</v>
      </c>
    </row>
    <row r="526" spans="1:32" ht="15">
      <c r="A526" s="66" t="s">
        <v>683</v>
      </c>
      <c r="B526" s="66" t="s">
        <v>905</v>
      </c>
      <c r="C526" s="67"/>
      <c r="D526" s="68"/>
      <c r="E526" s="69"/>
      <c r="F526" s="70"/>
      <c r="G526" s="67"/>
      <c r="H526" s="71"/>
      <c r="I526" s="72"/>
      <c r="J526" s="72"/>
      <c r="K526" s="35"/>
      <c r="L526" s="80">
        <v>526</v>
      </c>
      <c r="M526" s="80"/>
      <c r="N526" s="74"/>
      <c r="O526" s="82" t="s">
        <v>909</v>
      </c>
      <c r="P526" s="82" t="s">
        <v>197</v>
      </c>
      <c r="Q526" s="85" t="s">
        <v>1432</v>
      </c>
      <c r="R526" s="82" t="s">
        <v>683</v>
      </c>
      <c r="S526" s="82" t="s">
        <v>2149</v>
      </c>
      <c r="T526" s="87" t="str">
        <f>HYPERLINK("http://www.youtube.com/channel/UCSGZgStO6y2d5BSb14cSsYw")</f>
        <v>http://www.youtube.com/channel/UCSGZgStO6y2d5BSb14cSsYw</v>
      </c>
      <c r="U526" s="82"/>
      <c r="V526" s="82" t="s">
        <v>2373</v>
      </c>
      <c r="W526" s="87" t="str">
        <f aca="true" t="shared" si="24" ref="W526:W561">HYPERLINK("https://www.youtube.com/watch?v=za6dE5JrNB0")</f>
        <v>https://www.youtube.com/watch?v=za6dE5JrNB0</v>
      </c>
      <c r="X526" s="82" t="s">
        <v>2384</v>
      </c>
      <c r="Y526" s="82">
        <v>1</v>
      </c>
      <c r="Z526" s="89">
        <v>45038.718935185185</v>
      </c>
      <c r="AA526" s="89">
        <v>45038.718935185185</v>
      </c>
      <c r="AB526" s="82"/>
      <c r="AC526" s="82"/>
      <c r="AD526" s="85" t="s">
        <v>2423</v>
      </c>
      <c r="AE526" s="84" t="str">
        <f>REPLACE(INDEX(GroupVertices[Group],MATCH("~"&amp;Edges[[#This Row],[Vertex 1]],GroupVertices[Vertex],0)),1,1,"")</f>
        <v>6</v>
      </c>
      <c r="AF526" s="84" t="str">
        <f>REPLACE(INDEX(GroupVertices[Group],MATCH("~"&amp;Edges[[#This Row],[Vertex 2]],GroupVertices[Vertex],0)),1,1,"")</f>
        <v>2</v>
      </c>
    </row>
    <row r="527" spans="1:32" ht="15">
      <c r="A527" s="66" t="s">
        <v>684</v>
      </c>
      <c r="B527" s="66" t="s">
        <v>905</v>
      </c>
      <c r="C527" s="67"/>
      <c r="D527" s="68"/>
      <c r="E527" s="69"/>
      <c r="F527" s="70"/>
      <c r="G527" s="67"/>
      <c r="H527" s="71"/>
      <c r="I527" s="72"/>
      <c r="J527" s="72"/>
      <c r="K527" s="35"/>
      <c r="L527" s="80">
        <v>527</v>
      </c>
      <c r="M527" s="80"/>
      <c r="N527" s="74"/>
      <c r="O527" s="82" t="s">
        <v>909</v>
      </c>
      <c r="P527" s="82" t="s">
        <v>197</v>
      </c>
      <c r="Q527" s="85" t="s">
        <v>1433</v>
      </c>
      <c r="R527" s="82" t="s">
        <v>684</v>
      </c>
      <c r="S527" s="82" t="s">
        <v>2150</v>
      </c>
      <c r="T527" s="87" t="str">
        <f>HYPERLINK("http://www.youtube.com/channel/UCsTCjOvj8dSiNCmuJXRujXQ")</f>
        <v>http://www.youtube.com/channel/UCsTCjOvj8dSiNCmuJXRujXQ</v>
      </c>
      <c r="U527" s="82"/>
      <c r="V527" s="82" t="s">
        <v>2373</v>
      </c>
      <c r="W527" s="87" t="str">
        <f t="shared" si="24"/>
        <v>https://www.youtube.com/watch?v=za6dE5JrNB0</v>
      </c>
      <c r="X527" s="82" t="s">
        <v>2384</v>
      </c>
      <c r="Y527" s="82">
        <v>0</v>
      </c>
      <c r="Z527" s="89">
        <v>45041.16930555556</v>
      </c>
      <c r="AA527" s="89">
        <v>45041.16930555556</v>
      </c>
      <c r="AB527" s="82"/>
      <c r="AC527" s="82"/>
      <c r="AD527" s="85" t="s">
        <v>2423</v>
      </c>
      <c r="AE527" s="84" t="str">
        <f>REPLACE(INDEX(GroupVertices[Group],MATCH("~"&amp;Edges[[#This Row],[Vertex 1]],GroupVertices[Vertex],0)),1,1,"")</f>
        <v>2</v>
      </c>
      <c r="AF527" s="84" t="str">
        <f>REPLACE(INDEX(GroupVertices[Group],MATCH("~"&amp;Edges[[#This Row],[Vertex 2]],GroupVertices[Vertex],0)),1,1,"")</f>
        <v>2</v>
      </c>
    </row>
    <row r="528" spans="1:32" ht="15">
      <c r="A528" s="66" t="s">
        <v>685</v>
      </c>
      <c r="B528" s="66" t="s">
        <v>905</v>
      </c>
      <c r="C528" s="67"/>
      <c r="D528" s="68"/>
      <c r="E528" s="69"/>
      <c r="F528" s="70"/>
      <c r="G528" s="67"/>
      <c r="H528" s="71"/>
      <c r="I528" s="72"/>
      <c r="J528" s="72"/>
      <c r="K528" s="35"/>
      <c r="L528" s="80">
        <v>528</v>
      </c>
      <c r="M528" s="80"/>
      <c r="N528" s="74"/>
      <c r="O528" s="82" t="s">
        <v>909</v>
      </c>
      <c r="P528" s="82" t="s">
        <v>197</v>
      </c>
      <c r="Q528" s="85" t="s">
        <v>1434</v>
      </c>
      <c r="R528" s="82" t="s">
        <v>685</v>
      </c>
      <c r="S528" s="82" t="s">
        <v>2151</v>
      </c>
      <c r="T528" s="87" t="str">
        <f>HYPERLINK("http://www.youtube.com/channel/UC4WDYVahew1v9IqswX8EZyw")</f>
        <v>http://www.youtube.com/channel/UC4WDYVahew1v9IqswX8EZyw</v>
      </c>
      <c r="U528" s="82"/>
      <c r="V528" s="82" t="s">
        <v>2373</v>
      </c>
      <c r="W528" s="87" t="str">
        <f t="shared" si="24"/>
        <v>https://www.youtube.com/watch?v=za6dE5JrNB0</v>
      </c>
      <c r="X528" s="82" t="s">
        <v>2384</v>
      </c>
      <c r="Y528" s="82">
        <v>0</v>
      </c>
      <c r="Z528" s="89">
        <v>45042.22451388889</v>
      </c>
      <c r="AA528" s="89">
        <v>45042.22451388889</v>
      </c>
      <c r="AB528" s="82"/>
      <c r="AC528" s="82"/>
      <c r="AD528" s="85" t="s">
        <v>2423</v>
      </c>
      <c r="AE528" s="84" t="str">
        <f>REPLACE(INDEX(GroupVertices[Group],MATCH("~"&amp;Edges[[#This Row],[Vertex 1]],GroupVertices[Vertex],0)),1,1,"")</f>
        <v>2</v>
      </c>
      <c r="AF528" s="84" t="str">
        <f>REPLACE(INDEX(GroupVertices[Group],MATCH("~"&amp;Edges[[#This Row],[Vertex 2]],GroupVertices[Vertex],0)),1,1,"")</f>
        <v>2</v>
      </c>
    </row>
    <row r="529" spans="1:32" ht="15">
      <c r="A529" s="66" t="s">
        <v>686</v>
      </c>
      <c r="B529" s="66" t="s">
        <v>905</v>
      </c>
      <c r="C529" s="67"/>
      <c r="D529" s="68"/>
      <c r="E529" s="69"/>
      <c r="F529" s="70"/>
      <c r="G529" s="67"/>
      <c r="H529" s="71"/>
      <c r="I529" s="72"/>
      <c r="J529" s="72"/>
      <c r="K529" s="35"/>
      <c r="L529" s="80">
        <v>529</v>
      </c>
      <c r="M529" s="80"/>
      <c r="N529" s="74"/>
      <c r="O529" s="82" t="s">
        <v>909</v>
      </c>
      <c r="P529" s="82" t="s">
        <v>197</v>
      </c>
      <c r="Q529" s="85" t="s">
        <v>1435</v>
      </c>
      <c r="R529" s="82" t="s">
        <v>686</v>
      </c>
      <c r="S529" s="82" t="s">
        <v>2152</v>
      </c>
      <c r="T529" s="87" t="str">
        <f>HYPERLINK("http://www.youtube.com/channel/UCToP4JFX-JgXLm-KocsE2cw")</f>
        <v>http://www.youtube.com/channel/UCToP4JFX-JgXLm-KocsE2cw</v>
      </c>
      <c r="U529" s="82"/>
      <c r="V529" s="82" t="s">
        <v>2373</v>
      </c>
      <c r="W529" s="87" t="str">
        <f t="shared" si="24"/>
        <v>https://www.youtube.com/watch?v=za6dE5JrNB0</v>
      </c>
      <c r="X529" s="82" t="s">
        <v>2384</v>
      </c>
      <c r="Y529" s="82">
        <v>1</v>
      </c>
      <c r="Z529" s="89">
        <v>45079.62142361111</v>
      </c>
      <c r="AA529" s="89">
        <v>45079.622569444444</v>
      </c>
      <c r="AB529" s="82"/>
      <c r="AC529" s="82"/>
      <c r="AD529" s="85" t="s">
        <v>2423</v>
      </c>
      <c r="AE529" s="84" t="str">
        <f>REPLACE(INDEX(GroupVertices[Group],MATCH("~"&amp;Edges[[#This Row],[Vertex 1]],GroupVertices[Vertex],0)),1,1,"")</f>
        <v>2</v>
      </c>
      <c r="AF529" s="84" t="str">
        <f>REPLACE(INDEX(GroupVertices[Group],MATCH("~"&amp;Edges[[#This Row],[Vertex 2]],GroupVertices[Vertex],0)),1,1,"")</f>
        <v>2</v>
      </c>
    </row>
    <row r="530" spans="1:32" ht="15">
      <c r="A530" s="66" t="s">
        <v>687</v>
      </c>
      <c r="B530" s="66" t="s">
        <v>905</v>
      </c>
      <c r="C530" s="67"/>
      <c r="D530" s="68"/>
      <c r="E530" s="69"/>
      <c r="F530" s="70"/>
      <c r="G530" s="67"/>
      <c r="H530" s="71"/>
      <c r="I530" s="72"/>
      <c r="J530" s="72"/>
      <c r="K530" s="35"/>
      <c r="L530" s="80">
        <v>530</v>
      </c>
      <c r="M530" s="80"/>
      <c r="N530" s="74"/>
      <c r="O530" s="82" t="s">
        <v>909</v>
      </c>
      <c r="P530" s="82" t="s">
        <v>197</v>
      </c>
      <c r="Q530" s="85" t="s">
        <v>1436</v>
      </c>
      <c r="R530" s="82" t="s">
        <v>687</v>
      </c>
      <c r="S530" s="82" t="s">
        <v>2153</v>
      </c>
      <c r="T530" s="87" t="str">
        <f>HYPERLINK("http://www.youtube.com/channel/UCOwisMMQzJkKYdqBNbRPCfQ")</f>
        <v>http://www.youtube.com/channel/UCOwisMMQzJkKYdqBNbRPCfQ</v>
      </c>
      <c r="U530" s="82"/>
      <c r="V530" s="82" t="s">
        <v>2373</v>
      </c>
      <c r="W530" s="87" t="str">
        <f t="shared" si="24"/>
        <v>https://www.youtube.com/watch?v=za6dE5JrNB0</v>
      </c>
      <c r="X530" s="82" t="s">
        <v>2384</v>
      </c>
      <c r="Y530" s="82">
        <v>0</v>
      </c>
      <c r="Z530" s="89">
        <v>45102.17375</v>
      </c>
      <c r="AA530" s="89">
        <v>45102.17375</v>
      </c>
      <c r="AB530" s="82"/>
      <c r="AC530" s="82"/>
      <c r="AD530" s="85" t="s">
        <v>2423</v>
      </c>
      <c r="AE530" s="84" t="str">
        <f>REPLACE(INDEX(GroupVertices[Group],MATCH("~"&amp;Edges[[#This Row],[Vertex 1]],GroupVertices[Vertex],0)),1,1,"")</f>
        <v>2</v>
      </c>
      <c r="AF530" s="84" t="str">
        <f>REPLACE(INDEX(GroupVertices[Group],MATCH("~"&amp;Edges[[#This Row],[Vertex 2]],GroupVertices[Vertex],0)),1,1,"")</f>
        <v>2</v>
      </c>
    </row>
    <row r="531" spans="1:32" ht="15">
      <c r="A531" s="66" t="s">
        <v>688</v>
      </c>
      <c r="B531" s="66" t="s">
        <v>905</v>
      </c>
      <c r="C531" s="67"/>
      <c r="D531" s="68"/>
      <c r="E531" s="69"/>
      <c r="F531" s="70"/>
      <c r="G531" s="67"/>
      <c r="H531" s="71"/>
      <c r="I531" s="72"/>
      <c r="J531" s="72"/>
      <c r="K531" s="35"/>
      <c r="L531" s="80">
        <v>531</v>
      </c>
      <c r="M531" s="80"/>
      <c r="N531" s="74"/>
      <c r="O531" s="82" t="s">
        <v>909</v>
      </c>
      <c r="P531" s="82" t="s">
        <v>197</v>
      </c>
      <c r="Q531" s="85" t="s">
        <v>1437</v>
      </c>
      <c r="R531" s="82" t="s">
        <v>688</v>
      </c>
      <c r="S531" s="82" t="s">
        <v>2154</v>
      </c>
      <c r="T531" s="87" t="str">
        <f>HYPERLINK("http://www.youtube.com/channel/UC_fw_5lTNM7HrjboRrJk9EA")</f>
        <v>http://www.youtube.com/channel/UC_fw_5lTNM7HrjboRrJk9EA</v>
      </c>
      <c r="U531" s="82"/>
      <c r="V531" s="82" t="s">
        <v>2373</v>
      </c>
      <c r="W531" s="87" t="str">
        <f t="shared" si="24"/>
        <v>https://www.youtube.com/watch?v=za6dE5JrNB0</v>
      </c>
      <c r="X531" s="82" t="s">
        <v>2384</v>
      </c>
      <c r="Y531" s="82">
        <v>0</v>
      </c>
      <c r="Z531" s="89">
        <v>45103.09689814815</v>
      </c>
      <c r="AA531" s="89">
        <v>45103.09689814815</v>
      </c>
      <c r="AB531" s="82"/>
      <c r="AC531" s="82"/>
      <c r="AD531" s="85" t="s">
        <v>2423</v>
      </c>
      <c r="AE531" s="84" t="str">
        <f>REPLACE(INDEX(GroupVertices[Group],MATCH("~"&amp;Edges[[#This Row],[Vertex 1]],GroupVertices[Vertex],0)),1,1,"")</f>
        <v>2</v>
      </c>
      <c r="AF531" s="84" t="str">
        <f>REPLACE(INDEX(GroupVertices[Group],MATCH("~"&amp;Edges[[#This Row],[Vertex 2]],GroupVertices[Vertex],0)),1,1,"")</f>
        <v>2</v>
      </c>
    </row>
    <row r="532" spans="1:32" ht="15">
      <c r="A532" s="66" t="s">
        <v>689</v>
      </c>
      <c r="B532" s="66" t="s">
        <v>905</v>
      </c>
      <c r="C532" s="67"/>
      <c r="D532" s="68"/>
      <c r="E532" s="69"/>
      <c r="F532" s="70"/>
      <c r="G532" s="67"/>
      <c r="H532" s="71"/>
      <c r="I532" s="72"/>
      <c r="J532" s="72"/>
      <c r="K532" s="35"/>
      <c r="L532" s="80">
        <v>532</v>
      </c>
      <c r="M532" s="80"/>
      <c r="N532" s="74"/>
      <c r="O532" s="82" t="s">
        <v>909</v>
      </c>
      <c r="P532" s="82" t="s">
        <v>197</v>
      </c>
      <c r="Q532" s="85" t="s">
        <v>1438</v>
      </c>
      <c r="R532" s="82" t="s">
        <v>689</v>
      </c>
      <c r="S532" s="82" t="s">
        <v>2155</v>
      </c>
      <c r="T532" s="87" t="str">
        <f>HYPERLINK("http://www.youtube.com/channel/UCzG6hJNmUwX5zj8iC38UHzA")</f>
        <v>http://www.youtube.com/channel/UCzG6hJNmUwX5zj8iC38UHzA</v>
      </c>
      <c r="U532" s="82"/>
      <c r="V532" s="82" t="s">
        <v>2373</v>
      </c>
      <c r="W532" s="87" t="str">
        <f t="shared" si="24"/>
        <v>https://www.youtube.com/watch?v=za6dE5JrNB0</v>
      </c>
      <c r="X532" s="82" t="s">
        <v>2384</v>
      </c>
      <c r="Y532" s="82">
        <v>0</v>
      </c>
      <c r="Z532" s="89">
        <v>45108.13291666667</v>
      </c>
      <c r="AA532" s="89">
        <v>45108.13291666667</v>
      </c>
      <c r="AB532" s="82"/>
      <c r="AC532" s="82"/>
      <c r="AD532" s="85" t="s">
        <v>2423</v>
      </c>
      <c r="AE532" s="84" t="str">
        <f>REPLACE(INDEX(GroupVertices[Group],MATCH("~"&amp;Edges[[#This Row],[Vertex 1]],GroupVertices[Vertex],0)),1,1,"")</f>
        <v>2</v>
      </c>
      <c r="AF532" s="84" t="str">
        <f>REPLACE(INDEX(GroupVertices[Group],MATCH("~"&amp;Edges[[#This Row],[Vertex 2]],GroupVertices[Vertex],0)),1,1,"")</f>
        <v>2</v>
      </c>
    </row>
    <row r="533" spans="1:32" ht="15">
      <c r="A533" s="66" t="s">
        <v>690</v>
      </c>
      <c r="B533" s="66" t="s">
        <v>905</v>
      </c>
      <c r="C533" s="67"/>
      <c r="D533" s="68"/>
      <c r="E533" s="69"/>
      <c r="F533" s="70"/>
      <c r="G533" s="67"/>
      <c r="H533" s="71"/>
      <c r="I533" s="72"/>
      <c r="J533" s="72"/>
      <c r="K533" s="35"/>
      <c r="L533" s="80">
        <v>533</v>
      </c>
      <c r="M533" s="80"/>
      <c r="N533" s="74"/>
      <c r="O533" s="82" t="s">
        <v>909</v>
      </c>
      <c r="P533" s="82" t="s">
        <v>197</v>
      </c>
      <c r="Q533" s="85" t="s">
        <v>1439</v>
      </c>
      <c r="R533" s="82" t="s">
        <v>690</v>
      </c>
      <c r="S533" s="82" t="s">
        <v>2156</v>
      </c>
      <c r="T533" s="87" t="str">
        <f>HYPERLINK("http://www.youtube.com/channel/UCPyIRPhqIJ1a8zG6fKBgAKQ")</f>
        <v>http://www.youtube.com/channel/UCPyIRPhqIJ1a8zG6fKBgAKQ</v>
      </c>
      <c r="U533" s="82"/>
      <c r="V533" s="82" t="s">
        <v>2373</v>
      </c>
      <c r="W533" s="87" t="str">
        <f t="shared" si="24"/>
        <v>https://www.youtube.com/watch?v=za6dE5JrNB0</v>
      </c>
      <c r="X533" s="82" t="s">
        <v>2384</v>
      </c>
      <c r="Y533" s="82">
        <v>0</v>
      </c>
      <c r="Z533" s="89">
        <v>45117.391435185185</v>
      </c>
      <c r="AA533" s="89">
        <v>45117.391435185185</v>
      </c>
      <c r="AB533" s="82"/>
      <c r="AC533" s="82"/>
      <c r="AD533" s="85" t="s">
        <v>2423</v>
      </c>
      <c r="AE533" s="84" t="str">
        <f>REPLACE(INDEX(GroupVertices[Group],MATCH("~"&amp;Edges[[#This Row],[Vertex 1]],GroupVertices[Vertex],0)),1,1,"")</f>
        <v>2</v>
      </c>
      <c r="AF533" s="84" t="str">
        <f>REPLACE(INDEX(GroupVertices[Group],MATCH("~"&amp;Edges[[#This Row],[Vertex 2]],GroupVertices[Vertex],0)),1,1,"")</f>
        <v>2</v>
      </c>
    </row>
    <row r="534" spans="1:32" ht="15">
      <c r="A534" s="66" t="s">
        <v>690</v>
      </c>
      <c r="B534" s="66" t="s">
        <v>905</v>
      </c>
      <c r="C534" s="67"/>
      <c r="D534" s="68"/>
      <c r="E534" s="69"/>
      <c r="F534" s="70"/>
      <c r="G534" s="67"/>
      <c r="H534" s="71"/>
      <c r="I534" s="72"/>
      <c r="J534" s="72"/>
      <c r="K534" s="35"/>
      <c r="L534" s="80">
        <v>534</v>
      </c>
      <c r="M534" s="80"/>
      <c r="N534" s="74"/>
      <c r="O534" s="82" t="s">
        <v>909</v>
      </c>
      <c r="P534" s="82" t="s">
        <v>197</v>
      </c>
      <c r="Q534" s="85" t="s">
        <v>1440</v>
      </c>
      <c r="R534" s="82" t="s">
        <v>690</v>
      </c>
      <c r="S534" s="82" t="s">
        <v>2156</v>
      </c>
      <c r="T534" s="87" t="str">
        <f>HYPERLINK("http://www.youtube.com/channel/UCPyIRPhqIJ1a8zG6fKBgAKQ")</f>
        <v>http://www.youtube.com/channel/UCPyIRPhqIJ1a8zG6fKBgAKQ</v>
      </c>
      <c r="U534" s="82"/>
      <c r="V534" s="82" t="s">
        <v>2373</v>
      </c>
      <c r="W534" s="87" t="str">
        <f t="shared" si="24"/>
        <v>https://www.youtube.com/watch?v=za6dE5JrNB0</v>
      </c>
      <c r="X534" s="82" t="s">
        <v>2384</v>
      </c>
      <c r="Y534" s="82">
        <v>0</v>
      </c>
      <c r="Z534" s="89">
        <v>45117.39387731482</v>
      </c>
      <c r="AA534" s="89">
        <v>45117.39387731482</v>
      </c>
      <c r="AB534" s="82"/>
      <c r="AC534" s="82"/>
      <c r="AD534" s="85" t="s">
        <v>2423</v>
      </c>
      <c r="AE534" s="84" t="str">
        <f>REPLACE(INDEX(GroupVertices[Group],MATCH("~"&amp;Edges[[#This Row],[Vertex 1]],GroupVertices[Vertex],0)),1,1,"")</f>
        <v>2</v>
      </c>
      <c r="AF534" s="84" t="str">
        <f>REPLACE(INDEX(GroupVertices[Group],MATCH("~"&amp;Edges[[#This Row],[Vertex 2]],GroupVertices[Vertex],0)),1,1,"")</f>
        <v>2</v>
      </c>
    </row>
    <row r="535" spans="1:32" ht="15">
      <c r="A535" s="66" t="s">
        <v>691</v>
      </c>
      <c r="B535" s="66" t="s">
        <v>905</v>
      </c>
      <c r="C535" s="67"/>
      <c r="D535" s="68"/>
      <c r="E535" s="69"/>
      <c r="F535" s="70"/>
      <c r="G535" s="67"/>
      <c r="H535" s="71"/>
      <c r="I535" s="72"/>
      <c r="J535" s="72"/>
      <c r="K535" s="35"/>
      <c r="L535" s="80">
        <v>535</v>
      </c>
      <c r="M535" s="80"/>
      <c r="N535" s="74"/>
      <c r="O535" s="82" t="s">
        <v>909</v>
      </c>
      <c r="P535" s="82" t="s">
        <v>197</v>
      </c>
      <c r="Q535" s="85" t="s">
        <v>1441</v>
      </c>
      <c r="R535" s="82" t="s">
        <v>691</v>
      </c>
      <c r="S535" s="82" t="s">
        <v>2157</v>
      </c>
      <c r="T535" s="87" t="str">
        <f>HYPERLINK("http://www.youtube.com/channel/UCeDJtAOSzXMofMZ00ju2SMQ")</f>
        <v>http://www.youtube.com/channel/UCeDJtAOSzXMofMZ00ju2SMQ</v>
      </c>
      <c r="U535" s="82"/>
      <c r="V535" s="82" t="s">
        <v>2373</v>
      </c>
      <c r="W535" s="87" t="str">
        <f t="shared" si="24"/>
        <v>https://www.youtube.com/watch?v=za6dE5JrNB0</v>
      </c>
      <c r="X535" s="82" t="s">
        <v>2384</v>
      </c>
      <c r="Y535" s="82">
        <v>0</v>
      </c>
      <c r="Z535" s="89">
        <v>45118.22400462963</v>
      </c>
      <c r="AA535" s="89">
        <v>45118.22400462963</v>
      </c>
      <c r="AB535" s="82"/>
      <c r="AC535" s="82"/>
      <c r="AD535" s="85" t="s">
        <v>2423</v>
      </c>
      <c r="AE535" s="84" t="str">
        <f>REPLACE(INDEX(GroupVertices[Group],MATCH("~"&amp;Edges[[#This Row],[Vertex 1]],GroupVertices[Vertex],0)),1,1,"")</f>
        <v>2</v>
      </c>
      <c r="AF535" s="84" t="str">
        <f>REPLACE(INDEX(GroupVertices[Group],MATCH("~"&amp;Edges[[#This Row],[Vertex 2]],GroupVertices[Vertex],0)),1,1,"")</f>
        <v>2</v>
      </c>
    </row>
    <row r="536" spans="1:32" ht="15">
      <c r="A536" s="66" t="s">
        <v>692</v>
      </c>
      <c r="B536" s="66" t="s">
        <v>905</v>
      </c>
      <c r="C536" s="67"/>
      <c r="D536" s="68"/>
      <c r="E536" s="69"/>
      <c r="F536" s="70"/>
      <c r="G536" s="67"/>
      <c r="H536" s="71"/>
      <c r="I536" s="72"/>
      <c r="J536" s="72"/>
      <c r="K536" s="35"/>
      <c r="L536" s="80">
        <v>536</v>
      </c>
      <c r="M536" s="80"/>
      <c r="N536" s="74"/>
      <c r="O536" s="82" t="s">
        <v>909</v>
      </c>
      <c r="P536" s="82" t="s">
        <v>197</v>
      </c>
      <c r="Q536" s="85" t="s">
        <v>1442</v>
      </c>
      <c r="R536" s="82" t="s">
        <v>692</v>
      </c>
      <c r="S536" s="82" t="s">
        <v>2158</v>
      </c>
      <c r="T536" s="87" t="str">
        <f>HYPERLINK("http://www.youtube.com/channel/UCH9OJiH3gSKH6VOIAzDu6sg")</f>
        <v>http://www.youtube.com/channel/UCH9OJiH3gSKH6VOIAzDu6sg</v>
      </c>
      <c r="U536" s="82"/>
      <c r="V536" s="82" t="s">
        <v>2373</v>
      </c>
      <c r="W536" s="87" t="str">
        <f t="shared" si="24"/>
        <v>https://www.youtube.com/watch?v=za6dE5JrNB0</v>
      </c>
      <c r="X536" s="82" t="s">
        <v>2384</v>
      </c>
      <c r="Y536" s="82">
        <v>0</v>
      </c>
      <c r="Z536" s="89">
        <v>45118.28994212963</v>
      </c>
      <c r="AA536" s="89">
        <v>45118.28994212963</v>
      </c>
      <c r="AB536" s="82" t="s">
        <v>2407</v>
      </c>
      <c r="AC536" s="82" t="s">
        <v>2414</v>
      </c>
      <c r="AD536" s="85" t="s">
        <v>2423</v>
      </c>
      <c r="AE536" s="84" t="str">
        <f>REPLACE(INDEX(GroupVertices[Group],MATCH("~"&amp;Edges[[#This Row],[Vertex 1]],GroupVertices[Vertex],0)),1,1,"")</f>
        <v>2</v>
      </c>
      <c r="AF536" s="84" t="str">
        <f>REPLACE(INDEX(GroupVertices[Group],MATCH("~"&amp;Edges[[#This Row],[Vertex 2]],GroupVertices[Vertex],0)),1,1,"")</f>
        <v>2</v>
      </c>
    </row>
    <row r="537" spans="1:32" ht="15">
      <c r="A537" s="66" t="s">
        <v>693</v>
      </c>
      <c r="B537" s="66" t="s">
        <v>905</v>
      </c>
      <c r="C537" s="67"/>
      <c r="D537" s="68"/>
      <c r="E537" s="69"/>
      <c r="F537" s="70"/>
      <c r="G537" s="67"/>
      <c r="H537" s="71"/>
      <c r="I537" s="72"/>
      <c r="J537" s="72"/>
      <c r="K537" s="35"/>
      <c r="L537" s="80">
        <v>537</v>
      </c>
      <c r="M537" s="80"/>
      <c r="N537" s="74"/>
      <c r="O537" s="82" t="s">
        <v>909</v>
      </c>
      <c r="P537" s="82" t="s">
        <v>197</v>
      </c>
      <c r="Q537" s="85" t="s">
        <v>1443</v>
      </c>
      <c r="R537" s="82" t="s">
        <v>693</v>
      </c>
      <c r="S537" s="82" t="s">
        <v>2159</v>
      </c>
      <c r="T537" s="87" t="str">
        <f>HYPERLINK("http://www.youtube.com/channel/UCMbMlzar0cQ7VEb61nDhK9w")</f>
        <v>http://www.youtube.com/channel/UCMbMlzar0cQ7VEb61nDhK9w</v>
      </c>
      <c r="U537" s="82"/>
      <c r="V537" s="82" t="s">
        <v>2373</v>
      </c>
      <c r="W537" s="87" t="str">
        <f t="shared" si="24"/>
        <v>https://www.youtube.com/watch?v=za6dE5JrNB0</v>
      </c>
      <c r="X537" s="82" t="s">
        <v>2384</v>
      </c>
      <c r="Y537" s="82">
        <v>0</v>
      </c>
      <c r="Z537" s="89">
        <v>45124.425474537034</v>
      </c>
      <c r="AA537" s="89">
        <v>45124.425474537034</v>
      </c>
      <c r="AB537" s="82"/>
      <c r="AC537" s="82"/>
      <c r="AD537" s="85" t="s">
        <v>2423</v>
      </c>
      <c r="AE537" s="84" t="str">
        <f>REPLACE(INDEX(GroupVertices[Group],MATCH("~"&amp;Edges[[#This Row],[Vertex 1]],GroupVertices[Vertex],0)),1,1,"")</f>
        <v>2</v>
      </c>
      <c r="AF537" s="84" t="str">
        <f>REPLACE(INDEX(GroupVertices[Group],MATCH("~"&amp;Edges[[#This Row],[Vertex 2]],GroupVertices[Vertex],0)),1,1,"")</f>
        <v>2</v>
      </c>
    </row>
    <row r="538" spans="1:32" ht="15">
      <c r="A538" s="66" t="s">
        <v>694</v>
      </c>
      <c r="B538" s="66" t="s">
        <v>905</v>
      </c>
      <c r="C538" s="67"/>
      <c r="D538" s="68"/>
      <c r="E538" s="69"/>
      <c r="F538" s="70"/>
      <c r="G538" s="67"/>
      <c r="H538" s="71"/>
      <c r="I538" s="72"/>
      <c r="J538" s="72"/>
      <c r="K538" s="35"/>
      <c r="L538" s="80">
        <v>538</v>
      </c>
      <c r="M538" s="80"/>
      <c r="N538" s="74"/>
      <c r="O538" s="82" t="s">
        <v>909</v>
      </c>
      <c r="P538" s="82" t="s">
        <v>197</v>
      </c>
      <c r="Q538" s="85" t="s">
        <v>1444</v>
      </c>
      <c r="R538" s="82" t="s">
        <v>694</v>
      </c>
      <c r="S538" s="82" t="s">
        <v>2160</v>
      </c>
      <c r="T538" s="87" t="str">
        <f>HYPERLINK("http://www.youtube.com/channel/UCxZhzuDxa3aWgKh76vtJ2kg")</f>
        <v>http://www.youtube.com/channel/UCxZhzuDxa3aWgKh76vtJ2kg</v>
      </c>
      <c r="U538" s="82"/>
      <c r="V538" s="82" t="s">
        <v>2373</v>
      </c>
      <c r="W538" s="87" t="str">
        <f t="shared" si="24"/>
        <v>https://www.youtube.com/watch?v=za6dE5JrNB0</v>
      </c>
      <c r="X538" s="82" t="s">
        <v>2384</v>
      </c>
      <c r="Y538" s="82">
        <v>0</v>
      </c>
      <c r="Z538" s="89">
        <v>45125.33063657407</v>
      </c>
      <c r="AA538" s="89">
        <v>45125.33063657407</v>
      </c>
      <c r="AB538" s="82"/>
      <c r="AC538" s="82"/>
      <c r="AD538" s="85" t="s">
        <v>2423</v>
      </c>
      <c r="AE538" s="84" t="str">
        <f>REPLACE(INDEX(GroupVertices[Group],MATCH("~"&amp;Edges[[#This Row],[Vertex 1]],GroupVertices[Vertex],0)),1,1,"")</f>
        <v>2</v>
      </c>
      <c r="AF538" s="84" t="str">
        <f>REPLACE(INDEX(GroupVertices[Group],MATCH("~"&amp;Edges[[#This Row],[Vertex 2]],GroupVertices[Vertex],0)),1,1,"")</f>
        <v>2</v>
      </c>
    </row>
    <row r="539" spans="1:32" ht="15">
      <c r="A539" s="66" t="s">
        <v>695</v>
      </c>
      <c r="B539" s="66" t="s">
        <v>905</v>
      </c>
      <c r="C539" s="67"/>
      <c r="D539" s="68"/>
      <c r="E539" s="69"/>
      <c r="F539" s="70"/>
      <c r="G539" s="67"/>
      <c r="H539" s="71"/>
      <c r="I539" s="72"/>
      <c r="J539" s="72"/>
      <c r="K539" s="35"/>
      <c r="L539" s="80">
        <v>539</v>
      </c>
      <c r="M539" s="80"/>
      <c r="N539" s="74"/>
      <c r="O539" s="82" t="s">
        <v>909</v>
      </c>
      <c r="P539" s="82" t="s">
        <v>197</v>
      </c>
      <c r="Q539" s="85" t="s">
        <v>1445</v>
      </c>
      <c r="R539" s="82" t="s">
        <v>695</v>
      </c>
      <c r="S539" s="82" t="s">
        <v>2161</v>
      </c>
      <c r="T539" s="87" t="str">
        <f>HYPERLINK("http://www.youtube.com/channel/UCT2p-roxdDS0ov0c-vzYcDg")</f>
        <v>http://www.youtube.com/channel/UCT2p-roxdDS0ov0c-vzYcDg</v>
      </c>
      <c r="U539" s="82"/>
      <c r="V539" s="82" t="s">
        <v>2373</v>
      </c>
      <c r="W539" s="87" t="str">
        <f t="shared" si="24"/>
        <v>https://www.youtube.com/watch?v=za6dE5JrNB0</v>
      </c>
      <c r="X539" s="82" t="s">
        <v>2384</v>
      </c>
      <c r="Y539" s="82">
        <v>0</v>
      </c>
      <c r="Z539" s="89">
        <v>45127.23840277778</v>
      </c>
      <c r="AA539" s="89">
        <v>45127.23840277778</v>
      </c>
      <c r="AB539" s="82"/>
      <c r="AC539" s="82"/>
      <c r="AD539" s="85" t="s">
        <v>2423</v>
      </c>
      <c r="AE539" s="84" t="str">
        <f>REPLACE(INDEX(GroupVertices[Group],MATCH("~"&amp;Edges[[#This Row],[Vertex 1]],GroupVertices[Vertex],0)),1,1,"")</f>
        <v>2</v>
      </c>
      <c r="AF539" s="84" t="str">
        <f>REPLACE(INDEX(GroupVertices[Group],MATCH("~"&amp;Edges[[#This Row],[Vertex 2]],GroupVertices[Vertex],0)),1,1,"")</f>
        <v>2</v>
      </c>
    </row>
    <row r="540" spans="1:32" ht="15">
      <c r="A540" s="66" t="s">
        <v>696</v>
      </c>
      <c r="B540" s="66" t="s">
        <v>905</v>
      </c>
      <c r="C540" s="67"/>
      <c r="D540" s="68"/>
      <c r="E540" s="69"/>
      <c r="F540" s="70"/>
      <c r="G540" s="67"/>
      <c r="H540" s="71"/>
      <c r="I540" s="72"/>
      <c r="J540" s="72"/>
      <c r="K540" s="35"/>
      <c r="L540" s="80">
        <v>540</v>
      </c>
      <c r="M540" s="80"/>
      <c r="N540" s="74"/>
      <c r="O540" s="82" t="s">
        <v>909</v>
      </c>
      <c r="P540" s="82" t="s">
        <v>197</v>
      </c>
      <c r="Q540" s="85" t="s">
        <v>1446</v>
      </c>
      <c r="R540" s="82" t="s">
        <v>696</v>
      </c>
      <c r="S540" s="82" t="s">
        <v>2162</v>
      </c>
      <c r="T540" s="87" t="str">
        <f>HYPERLINK("http://www.youtube.com/channel/UCS96WOmj3eNUwvYHK5vKcAw")</f>
        <v>http://www.youtube.com/channel/UCS96WOmj3eNUwvYHK5vKcAw</v>
      </c>
      <c r="U540" s="82"/>
      <c r="V540" s="82" t="s">
        <v>2373</v>
      </c>
      <c r="W540" s="87" t="str">
        <f t="shared" si="24"/>
        <v>https://www.youtube.com/watch?v=za6dE5JrNB0</v>
      </c>
      <c r="X540" s="82" t="s">
        <v>2384</v>
      </c>
      <c r="Y540" s="82">
        <v>0</v>
      </c>
      <c r="Z540" s="89">
        <v>45133.43347222222</v>
      </c>
      <c r="AA540" s="89">
        <v>45133.43347222222</v>
      </c>
      <c r="AB540" s="82"/>
      <c r="AC540" s="82"/>
      <c r="AD540" s="85" t="s">
        <v>2423</v>
      </c>
      <c r="AE540" s="84" t="str">
        <f>REPLACE(INDEX(GroupVertices[Group],MATCH("~"&amp;Edges[[#This Row],[Vertex 1]],GroupVertices[Vertex],0)),1,1,"")</f>
        <v>2</v>
      </c>
      <c r="AF540" s="84" t="str">
        <f>REPLACE(INDEX(GroupVertices[Group],MATCH("~"&amp;Edges[[#This Row],[Vertex 2]],GroupVertices[Vertex],0)),1,1,"")</f>
        <v>2</v>
      </c>
    </row>
    <row r="541" spans="1:32" ht="15">
      <c r="A541" s="66" t="s">
        <v>697</v>
      </c>
      <c r="B541" s="66" t="s">
        <v>905</v>
      </c>
      <c r="C541" s="67"/>
      <c r="D541" s="68"/>
      <c r="E541" s="69"/>
      <c r="F541" s="70"/>
      <c r="G541" s="67"/>
      <c r="H541" s="71"/>
      <c r="I541" s="72"/>
      <c r="J541" s="72"/>
      <c r="K541" s="35"/>
      <c r="L541" s="80">
        <v>541</v>
      </c>
      <c r="M541" s="80"/>
      <c r="N541" s="74"/>
      <c r="O541" s="82" t="s">
        <v>909</v>
      </c>
      <c r="P541" s="82" t="s">
        <v>197</v>
      </c>
      <c r="Q541" s="85" t="s">
        <v>1447</v>
      </c>
      <c r="R541" s="82" t="s">
        <v>697</v>
      </c>
      <c r="S541" s="82" t="s">
        <v>2163</v>
      </c>
      <c r="T541" s="87" t="str">
        <f>HYPERLINK("http://www.youtube.com/channel/UC0vw_u4FhVDz6BVIjp7hL4g")</f>
        <v>http://www.youtube.com/channel/UC0vw_u4FhVDz6BVIjp7hL4g</v>
      </c>
      <c r="U541" s="82"/>
      <c r="V541" s="82" t="s">
        <v>2373</v>
      </c>
      <c r="W541" s="87" t="str">
        <f t="shared" si="24"/>
        <v>https://www.youtube.com/watch?v=za6dE5JrNB0</v>
      </c>
      <c r="X541" s="82" t="s">
        <v>2384</v>
      </c>
      <c r="Y541" s="82">
        <v>0</v>
      </c>
      <c r="Z541" s="89">
        <v>45137.34210648148</v>
      </c>
      <c r="AA541" s="89">
        <v>45137.34210648148</v>
      </c>
      <c r="AB541" s="82"/>
      <c r="AC541" s="82"/>
      <c r="AD541" s="85" t="s">
        <v>2423</v>
      </c>
      <c r="AE541" s="84" t="str">
        <f>REPLACE(INDEX(GroupVertices[Group],MATCH("~"&amp;Edges[[#This Row],[Vertex 1]],GroupVertices[Vertex],0)),1,1,"")</f>
        <v>2</v>
      </c>
      <c r="AF541" s="84" t="str">
        <f>REPLACE(INDEX(GroupVertices[Group],MATCH("~"&amp;Edges[[#This Row],[Vertex 2]],GroupVertices[Vertex],0)),1,1,"")</f>
        <v>2</v>
      </c>
    </row>
    <row r="542" spans="1:32" ht="15">
      <c r="A542" s="66" t="s">
        <v>698</v>
      </c>
      <c r="B542" s="66" t="s">
        <v>905</v>
      </c>
      <c r="C542" s="67"/>
      <c r="D542" s="68"/>
      <c r="E542" s="69"/>
      <c r="F542" s="70"/>
      <c r="G542" s="67"/>
      <c r="H542" s="71"/>
      <c r="I542" s="72"/>
      <c r="J542" s="72"/>
      <c r="K542" s="35"/>
      <c r="L542" s="80">
        <v>542</v>
      </c>
      <c r="M542" s="80"/>
      <c r="N542" s="74"/>
      <c r="O542" s="82" t="s">
        <v>909</v>
      </c>
      <c r="P542" s="82" t="s">
        <v>197</v>
      </c>
      <c r="Q542" s="85" t="s">
        <v>1448</v>
      </c>
      <c r="R542" s="82" t="s">
        <v>698</v>
      </c>
      <c r="S542" s="82" t="s">
        <v>2164</v>
      </c>
      <c r="T542" s="87" t="str">
        <f>HYPERLINK("http://www.youtube.com/channel/UChyOfaIChmJXmh-YNTeNl6w")</f>
        <v>http://www.youtube.com/channel/UChyOfaIChmJXmh-YNTeNl6w</v>
      </c>
      <c r="U542" s="82"/>
      <c r="V542" s="82" t="s">
        <v>2373</v>
      </c>
      <c r="W542" s="87" t="str">
        <f t="shared" si="24"/>
        <v>https://www.youtube.com/watch?v=za6dE5JrNB0</v>
      </c>
      <c r="X542" s="82" t="s">
        <v>2384</v>
      </c>
      <c r="Y542" s="82">
        <v>0</v>
      </c>
      <c r="Z542" s="89">
        <v>45144.81644675926</v>
      </c>
      <c r="AA542" s="89">
        <v>45144.81644675926</v>
      </c>
      <c r="AB542" s="82"/>
      <c r="AC542" s="82"/>
      <c r="AD542" s="85" t="s">
        <v>2423</v>
      </c>
      <c r="AE542" s="84" t="str">
        <f>REPLACE(INDEX(GroupVertices[Group],MATCH("~"&amp;Edges[[#This Row],[Vertex 1]],GroupVertices[Vertex],0)),1,1,"")</f>
        <v>2</v>
      </c>
      <c r="AF542" s="84" t="str">
        <f>REPLACE(INDEX(GroupVertices[Group],MATCH("~"&amp;Edges[[#This Row],[Vertex 2]],GroupVertices[Vertex],0)),1,1,"")</f>
        <v>2</v>
      </c>
    </row>
    <row r="543" spans="1:32" ht="15">
      <c r="A543" s="66" t="s">
        <v>699</v>
      </c>
      <c r="B543" s="66" t="s">
        <v>905</v>
      </c>
      <c r="C543" s="67"/>
      <c r="D543" s="68"/>
      <c r="E543" s="69"/>
      <c r="F543" s="70"/>
      <c r="G543" s="67"/>
      <c r="H543" s="71"/>
      <c r="I543" s="72"/>
      <c r="J543" s="72"/>
      <c r="K543" s="35"/>
      <c r="L543" s="80">
        <v>543</v>
      </c>
      <c r="M543" s="80"/>
      <c r="N543" s="74"/>
      <c r="O543" s="82" t="s">
        <v>909</v>
      </c>
      <c r="P543" s="82" t="s">
        <v>197</v>
      </c>
      <c r="Q543" s="85" t="s">
        <v>1449</v>
      </c>
      <c r="R543" s="82" t="s">
        <v>699</v>
      </c>
      <c r="S543" s="82" t="s">
        <v>2165</v>
      </c>
      <c r="T543" s="87" t="str">
        <f>HYPERLINK("http://www.youtube.com/channel/UCYXGrKFyrb2BJ7_mhfw45Gg")</f>
        <v>http://www.youtube.com/channel/UCYXGrKFyrb2BJ7_mhfw45Gg</v>
      </c>
      <c r="U543" s="82"/>
      <c r="V543" s="82" t="s">
        <v>2373</v>
      </c>
      <c r="W543" s="87" t="str">
        <f t="shared" si="24"/>
        <v>https://www.youtube.com/watch?v=za6dE5JrNB0</v>
      </c>
      <c r="X543" s="82" t="s">
        <v>2384</v>
      </c>
      <c r="Y543" s="82">
        <v>0</v>
      </c>
      <c r="Z543" s="89">
        <v>45145.091215277775</v>
      </c>
      <c r="AA543" s="89">
        <v>45145.091215277775</v>
      </c>
      <c r="AB543" s="82"/>
      <c r="AC543" s="82"/>
      <c r="AD543" s="85" t="s">
        <v>2423</v>
      </c>
      <c r="AE543" s="84" t="str">
        <f>REPLACE(INDEX(GroupVertices[Group],MATCH("~"&amp;Edges[[#This Row],[Vertex 1]],GroupVertices[Vertex],0)),1,1,"")</f>
        <v>2</v>
      </c>
      <c r="AF543" s="84" t="str">
        <f>REPLACE(INDEX(GroupVertices[Group],MATCH("~"&amp;Edges[[#This Row],[Vertex 2]],GroupVertices[Vertex],0)),1,1,"")</f>
        <v>2</v>
      </c>
    </row>
    <row r="544" spans="1:32" ht="15">
      <c r="A544" s="66" t="s">
        <v>700</v>
      </c>
      <c r="B544" s="66" t="s">
        <v>905</v>
      </c>
      <c r="C544" s="67"/>
      <c r="D544" s="68"/>
      <c r="E544" s="69"/>
      <c r="F544" s="70"/>
      <c r="G544" s="67"/>
      <c r="H544" s="71"/>
      <c r="I544" s="72"/>
      <c r="J544" s="72"/>
      <c r="K544" s="35"/>
      <c r="L544" s="80">
        <v>544</v>
      </c>
      <c r="M544" s="80"/>
      <c r="N544" s="74"/>
      <c r="O544" s="82" t="s">
        <v>909</v>
      </c>
      <c r="P544" s="82" t="s">
        <v>197</v>
      </c>
      <c r="Q544" s="85" t="s">
        <v>1450</v>
      </c>
      <c r="R544" s="82" t="s">
        <v>700</v>
      </c>
      <c r="S544" s="82" t="s">
        <v>2166</v>
      </c>
      <c r="T544" s="87" t="str">
        <f>HYPERLINK("http://www.youtube.com/channel/UCfe83fYh_9hoSzCFkOXB9hg")</f>
        <v>http://www.youtube.com/channel/UCfe83fYh_9hoSzCFkOXB9hg</v>
      </c>
      <c r="U544" s="82"/>
      <c r="V544" s="82" t="s">
        <v>2373</v>
      </c>
      <c r="W544" s="87" t="str">
        <f t="shared" si="24"/>
        <v>https://www.youtube.com/watch?v=za6dE5JrNB0</v>
      </c>
      <c r="X544" s="82" t="s">
        <v>2384</v>
      </c>
      <c r="Y544" s="82">
        <v>0</v>
      </c>
      <c r="Z544" s="89">
        <v>45156.858622685184</v>
      </c>
      <c r="AA544" s="89">
        <v>45156.858622685184</v>
      </c>
      <c r="AB544" s="82"/>
      <c r="AC544" s="82"/>
      <c r="AD544" s="85" t="s">
        <v>2423</v>
      </c>
      <c r="AE544" s="84" t="str">
        <f>REPLACE(INDEX(GroupVertices[Group],MATCH("~"&amp;Edges[[#This Row],[Vertex 1]],GroupVertices[Vertex],0)),1,1,"")</f>
        <v>2</v>
      </c>
      <c r="AF544" s="84" t="str">
        <f>REPLACE(INDEX(GroupVertices[Group],MATCH("~"&amp;Edges[[#This Row],[Vertex 2]],GroupVertices[Vertex],0)),1,1,"")</f>
        <v>2</v>
      </c>
    </row>
    <row r="545" spans="1:32" ht="15">
      <c r="A545" s="66" t="s">
        <v>701</v>
      </c>
      <c r="B545" s="66" t="s">
        <v>905</v>
      </c>
      <c r="C545" s="67"/>
      <c r="D545" s="68"/>
      <c r="E545" s="69"/>
      <c r="F545" s="70"/>
      <c r="G545" s="67"/>
      <c r="H545" s="71"/>
      <c r="I545" s="72"/>
      <c r="J545" s="72"/>
      <c r="K545" s="35"/>
      <c r="L545" s="80">
        <v>545</v>
      </c>
      <c r="M545" s="80"/>
      <c r="N545" s="74"/>
      <c r="O545" s="82" t="s">
        <v>909</v>
      </c>
      <c r="P545" s="82" t="s">
        <v>197</v>
      </c>
      <c r="Q545" s="85" t="s">
        <v>1451</v>
      </c>
      <c r="R545" s="82" t="s">
        <v>701</v>
      </c>
      <c r="S545" s="82" t="s">
        <v>2167</v>
      </c>
      <c r="T545" s="87" t="str">
        <f>HYPERLINK("http://www.youtube.com/channel/UCYEd7P0_l36H5Fi_6WsUV1w")</f>
        <v>http://www.youtube.com/channel/UCYEd7P0_l36H5Fi_6WsUV1w</v>
      </c>
      <c r="U545" s="82"/>
      <c r="V545" s="82" t="s">
        <v>2373</v>
      </c>
      <c r="W545" s="87" t="str">
        <f t="shared" si="24"/>
        <v>https://www.youtube.com/watch?v=za6dE5JrNB0</v>
      </c>
      <c r="X545" s="82" t="s">
        <v>2384</v>
      </c>
      <c r="Y545" s="82">
        <v>0</v>
      </c>
      <c r="Z545" s="89">
        <v>45157.881944444445</v>
      </c>
      <c r="AA545" s="89">
        <v>45157.881944444445</v>
      </c>
      <c r="AB545" s="82"/>
      <c r="AC545" s="82"/>
      <c r="AD545" s="85" t="s">
        <v>2423</v>
      </c>
      <c r="AE545" s="84" t="str">
        <f>REPLACE(INDEX(GroupVertices[Group],MATCH("~"&amp;Edges[[#This Row],[Vertex 1]],GroupVertices[Vertex],0)),1,1,"")</f>
        <v>2</v>
      </c>
      <c r="AF545" s="84" t="str">
        <f>REPLACE(INDEX(GroupVertices[Group],MATCH("~"&amp;Edges[[#This Row],[Vertex 2]],GroupVertices[Vertex],0)),1,1,"")</f>
        <v>2</v>
      </c>
    </row>
    <row r="546" spans="1:32" ht="15">
      <c r="A546" s="66" t="s">
        <v>702</v>
      </c>
      <c r="B546" s="66" t="s">
        <v>905</v>
      </c>
      <c r="C546" s="67"/>
      <c r="D546" s="68"/>
      <c r="E546" s="69"/>
      <c r="F546" s="70"/>
      <c r="G546" s="67"/>
      <c r="H546" s="71"/>
      <c r="I546" s="72"/>
      <c r="J546" s="72"/>
      <c r="K546" s="35"/>
      <c r="L546" s="80">
        <v>546</v>
      </c>
      <c r="M546" s="80"/>
      <c r="N546" s="74"/>
      <c r="O546" s="82" t="s">
        <v>909</v>
      </c>
      <c r="P546" s="82" t="s">
        <v>197</v>
      </c>
      <c r="Q546" s="85" t="s">
        <v>1452</v>
      </c>
      <c r="R546" s="82" t="s">
        <v>702</v>
      </c>
      <c r="S546" s="82" t="s">
        <v>2168</v>
      </c>
      <c r="T546" s="87" t="str">
        <f>HYPERLINK("http://www.youtube.com/channel/UC-PxJnQ4eNOYzukE0IYC_mg")</f>
        <v>http://www.youtube.com/channel/UC-PxJnQ4eNOYzukE0IYC_mg</v>
      </c>
      <c r="U546" s="82"/>
      <c r="V546" s="82" t="s">
        <v>2373</v>
      </c>
      <c r="W546" s="87" t="str">
        <f t="shared" si="24"/>
        <v>https://www.youtube.com/watch?v=za6dE5JrNB0</v>
      </c>
      <c r="X546" s="82" t="s">
        <v>2384</v>
      </c>
      <c r="Y546" s="82">
        <v>0</v>
      </c>
      <c r="Z546" s="89">
        <v>45164.11116898148</v>
      </c>
      <c r="AA546" s="89">
        <v>45164.11116898148</v>
      </c>
      <c r="AB546" s="82"/>
      <c r="AC546" s="82"/>
      <c r="AD546" s="85" t="s">
        <v>2423</v>
      </c>
      <c r="AE546" s="84" t="str">
        <f>REPLACE(INDEX(GroupVertices[Group],MATCH("~"&amp;Edges[[#This Row],[Vertex 1]],GroupVertices[Vertex],0)),1,1,"")</f>
        <v>2</v>
      </c>
      <c r="AF546" s="84" t="str">
        <f>REPLACE(INDEX(GroupVertices[Group],MATCH("~"&amp;Edges[[#This Row],[Vertex 2]],GroupVertices[Vertex],0)),1,1,"")</f>
        <v>2</v>
      </c>
    </row>
    <row r="547" spans="1:32" ht="15">
      <c r="A547" s="66" t="s">
        <v>703</v>
      </c>
      <c r="B547" s="66" t="s">
        <v>905</v>
      </c>
      <c r="C547" s="67"/>
      <c r="D547" s="68"/>
      <c r="E547" s="69"/>
      <c r="F547" s="70"/>
      <c r="G547" s="67"/>
      <c r="H547" s="71"/>
      <c r="I547" s="72"/>
      <c r="J547" s="72"/>
      <c r="K547" s="35"/>
      <c r="L547" s="80">
        <v>547</v>
      </c>
      <c r="M547" s="80"/>
      <c r="N547" s="74"/>
      <c r="O547" s="82" t="s">
        <v>909</v>
      </c>
      <c r="P547" s="82" t="s">
        <v>197</v>
      </c>
      <c r="Q547" s="85" t="s">
        <v>1453</v>
      </c>
      <c r="R547" s="82" t="s">
        <v>703</v>
      </c>
      <c r="S547" s="82" t="s">
        <v>2169</v>
      </c>
      <c r="T547" s="87" t="str">
        <f>HYPERLINK("http://www.youtube.com/channel/UCTb6R7eVlCVS0dqDNygYu4Q")</f>
        <v>http://www.youtube.com/channel/UCTb6R7eVlCVS0dqDNygYu4Q</v>
      </c>
      <c r="U547" s="82"/>
      <c r="V547" s="82" t="s">
        <v>2373</v>
      </c>
      <c r="W547" s="87" t="str">
        <f t="shared" si="24"/>
        <v>https://www.youtube.com/watch?v=za6dE5JrNB0</v>
      </c>
      <c r="X547" s="82" t="s">
        <v>2384</v>
      </c>
      <c r="Y547" s="82">
        <v>0</v>
      </c>
      <c r="Z547" s="89">
        <v>45177.11546296296</v>
      </c>
      <c r="AA547" s="89">
        <v>45177.11546296296</v>
      </c>
      <c r="AB547" s="82"/>
      <c r="AC547" s="82"/>
      <c r="AD547" s="85" t="s">
        <v>2423</v>
      </c>
      <c r="AE547" s="84" t="str">
        <f>REPLACE(INDEX(GroupVertices[Group],MATCH("~"&amp;Edges[[#This Row],[Vertex 1]],GroupVertices[Vertex],0)),1,1,"")</f>
        <v>2</v>
      </c>
      <c r="AF547" s="84" t="str">
        <f>REPLACE(INDEX(GroupVertices[Group],MATCH("~"&amp;Edges[[#This Row],[Vertex 2]],GroupVertices[Vertex],0)),1,1,"")</f>
        <v>2</v>
      </c>
    </row>
    <row r="548" spans="1:32" ht="15">
      <c r="A548" s="66" t="s">
        <v>704</v>
      </c>
      <c r="B548" s="66" t="s">
        <v>905</v>
      </c>
      <c r="C548" s="67"/>
      <c r="D548" s="68"/>
      <c r="E548" s="69"/>
      <c r="F548" s="70"/>
      <c r="G548" s="67"/>
      <c r="H548" s="71"/>
      <c r="I548" s="72"/>
      <c r="J548" s="72"/>
      <c r="K548" s="35"/>
      <c r="L548" s="80">
        <v>548</v>
      </c>
      <c r="M548" s="80"/>
      <c r="N548" s="74"/>
      <c r="O548" s="82" t="s">
        <v>909</v>
      </c>
      <c r="P548" s="82" t="s">
        <v>197</v>
      </c>
      <c r="Q548" s="85" t="s">
        <v>1454</v>
      </c>
      <c r="R548" s="82" t="s">
        <v>704</v>
      </c>
      <c r="S548" s="82" t="s">
        <v>2170</v>
      </c>
      <c r="T548" s="87" t="str">
        <f>HYPERLINK("http://www.youtube.com/channel/UCdL6lEehDERIAZN4KaLbjVA")</f>
        <v>http://www.youtube.com/channel/UCdL6lEehDERIAZN4KaLbjVA</v>
      </c>
      <c r="U548" s="82"/>
      <c r="V548" s="82" t="s">
        <v>2373</v>
      </c>
      <c r="W548" s="87" t="str">
        <f t="shared" si="24"/>
        <v>https://www.youtube.com/watch?v=za6dE5JrNB0</v>
      </c>
      <c r="X548" s="82" t="s">
        <v>2384</v>
      </c>
      <c r="Y548" s="82">
        <v>0</v>
      </c>
      <c r="Z548" s="89">
        <v>45177.16165509259</v>
      </c>
      <c r="AA548" s="89">
        <v>45177.16165509259</v>
      </c>
      <c r="AB548" s="82"/>
      <c r="AC548" s="82"/>
      <c r="AD548" s="85" t="s">
        <v>2423</v>
      </c>
      <c r="AE548" s="84" t="str">
        <f>REPLACE(INDEX(GroupVertices[Group],MATCH("~"&amp;Edges[[#This Row],[Vertex 1]],GroupVertices[Vertex],0)),1,1,"")</f>
        <v>2</v>
      </c>
      <c r="AF548" s="84" t="str">
        <f>REPLACE(INDEX(GroupVertices[Group],MATCH("~"&amp;Edges[[#This Row],[Vertex 2]],GroupVertices[Vertex],0)),1,1,"")</f>
        <v>2</v>
      </c>
    </row>
    <row r="549" spans="1:32" ht="15">
      <c r="A549" s="66" t="s">
        <v>705</v>
      </c>
      <c r="B549" s="66" t="s">
        <v>905</v>
      </c>
      <c r="C549" s="67"/>
      <c r="D549" s="68"/>
      <c r="E549" s="69"/>
      <c r="F549" s="70"/>
      <c r="G549" s="67"/>
      <c r="H549" s="71"/>
      <c r="I549" s="72"/>
      <c r="J549" s="72"/>
      <c r="K549" s="35"/>
      <c r="L549" s="80">
        <v>549</v>
      </c>
      <c r="M549" s="80"/>
      <c r="N549" s="74"/>
      <c r="O549" s="82" t="s">
        <v>909</v>
      </c>
      <c r="P549" s="82" t="s">
        <v>197</v>
      </c>
      <c r="Q549" s="85" t="s">
        <v>1455</v>
      </c>
      <c r="R549" s="82" t="s">
        <v>705</v>
      </c>
      <c r="S549" s="82" t="s">
        <v>2171</v>
      </c>
      <c r="T549" s="87" t="str">
        <f>HYPERLINK("http://www.youtube.com/channel/UCRDaBFMqA5pt1HTQdyNKy_A")</f>
        <v>http://www.youtube.com/channel/UCRDaBFMqA5pt1HTQdyNKy_A</v>
      </c>
      <c r="U549" s="82"/>
      <c r="V549" s="82" t="s">
        <v>2373</v>
      </c>
      <c r="W549" s="87" t="str">
        <f t="shared" si="24"/>
        <v>https://www.youtube.com/watch?v=za6dE5JrNB0</v>
      </c>
      <c r="X549" s="82" t="s">
        <v>2384</v>
      </c>
      <c r="Y549" s="82">
        <v>1</v>
      </c>
      <c r="Z549" s="89">
        <v>45182.92806712963</v>
      </c>
      <c r="AA549" s="89">
        <v>45182.92806712963</v>
      </c>
      <c r="AB549" s="82"/>
      <c r="AC549" s="82"/>
      <c r="AD549" s="85" t="s">
        <v>2423</v>
      </c>
      <c r="AE549" s="84" t="str">
        <f>REPLACE(INDEX(GroupVertices[Group],MATCH("~"&amp;Edges[[#This Row],[Vertex 1]],GroupVertices[Vertex],0)),1,1,"")</f>
        <v>2</v>
      </c>
      <c r="AF549" s="84" t="str">
        <f>REPLACE(INDEX(GroupVertices[Group],MATCH("~"&amp;Edges[[#This Row],[Vertex 2]],GroupVertices[Vertex],0)),1,1,"")</f>
        <v>2</v>
      </c>
    </row>
    <row r="550" spans="1:32" ht="15">
      <c r="A550" s="66" t="s">
        <v>706</v>
      </c>
      <c r="B550" s="66" t="s">
        <v>905</v>
      </c>
      <c r="C550" s="67"/>
      <c r="D550" s="68"/>
      <c r="E550" s="69"/>
      <c r="F550" s="70"/>
      <c r="G550" s="67"/>
      <c r="H550" s="71"/>
      <c r="I550" s="72"/>
      <c r="J550" s="72"/>
      <c r="K550" s="35"/>
      <c r="L550" s="80">
        <v>550</v>
      </c>
      <c r="M550" s="80"/>
      <c r="N550" s="74"/>
      <c r="O550" s="82" t="s">
        <v>909</v>
      </c>
      <c r="P550" s="82" t="s">
        <v>197</v>
      </c>
      <c r="Q550" s="85" t="s">
        <v>1456</v>
      </c>
      <c r="R550" s="82" t="s">
        <v>706</v>
      </c>
      <c r="S550" s="82" t="s">
        <v>2172</v>
      </c>
      <c r="T550" s="87" t="str">
        <f>HYPERLINK("http://www.youtube.com/channel/UCbtWbnuwj8wJGfyVKZFvkQQ")</f>
        <v>http://www.youtube.com/channel/UCbtWbnuwj8wJGfyVKZFvkQQ</v>
      </c>
      <c r="U550" s="82"/>
      <c r="V550" s="82" t="s">
        <v>2373</v>
      </c>
      <c r="W550" s="87" t="str">
        <f t="shared" si="24"/>
        <v>https://www.youtube.com/watch?v=za6dE5JrNB0</v>
      </c>
      <c r="X550" s="82" t="s">
        <v>2384</v>
      </c>
      <c r="Y550" s="82">
        <v>0</v>
      </c>
      <c r="Z550" s="89">
        <v>45185.08047453704</v>
      </c>
      <c r="AA550" s="89">
        <v>45185.08047453704</v>
      </c>
      <c r="AB550" s="82"/>
      <c r="AC550" s="82"/>
      <c r="AD550" s="85" t="s">
        <v>2423</v>
      </c>
      <c r="AE550" s="84" t="str">
        <f>REPLACE(INDEX(GroupVertices[Group],MATCH("~"&amp;Edges[[#This Row],[Vertex 1]],GroupVertices[Vertex],0)),1,1,"")</f>
        <v>2</v>
      </c>
      <c r="AF550" s="84" t="str">
        <f>REPLACE(INDEX(GroupVertices[Group],MATCH("~"&amp;Edges[[#This Row],[Vertex 2]],GroupVertices[Vertex],0)),1,1,"")</f>
        <v>2</v>
      </c>
    </row>
    <row r="551" spans="1:32" ht="15">
      <c r="A551" s="66" t="s">
        <v>707</v>
      </c>
      <c r="B551" s="66" t="s">
        <v>905</v>
      </c>
      <c r="C551" s="67"/>
      <c r="D551" s="68"/>
      <c r="E551" s="69"/>
      <c r="F551" s="70"/>
      <c r="G551" s="67"/>
      <c r="H551" s="71"/>
      <c r="I551" s="72"/>
      <c r="J551" s="72"/>
      <c r="K551" s="35"/>
      <c r="L551" s="80">
        <v>551</v>
      </c>
      <c r="M551" s="80"/>
      <c r="N551" s="74"/>
      <c r="O551" s="82" t="s">
        <v>909</v>
      </c>
      <c r="P551" s="82" t="s">
        <v>197</v>
      </c>
      <c r="Q551" s="85" t="s">
        <v>1457</v>
      </c>
      <c r="R551" s="82" t="s">
        <v>707</v>
      </c>
      <c r="S551" s="82" t="s">
        <v>2173</v>
      </c>
      <c r="T551" s="87" t="str">
        <f>HYPERLINK("http://www.youtube.com/channel/UCrGqEZjEqwi3q87eokygrTw")</f>
        <v>http://www.youtube.com/channel/UCrGqEZjEqwi3q87eokygrTw</v>
      </c>
      <c r="U551" s="82"/>
      <c r="V551" s="82" t="s">
        <v>2373</v>
      </c>
      <c r="W551" s="87" t="str">
        <f t="shared" si="24"/>
        <v>https://www.youtube.com/watch?v=za6dE5JrNB0</v>
      </c>
      <c r="X551" s="82" t="s">
        <v>2384</v>
      </c>
      <c r="Y551" s="82">
        <v>0</v>
      </c>
      <c r="Z551" s="89">
        <v>45190.144421296296</v>
      </c>
      <c r="AA551" s="89">
        <v>45190.144421296296</v>
      </c>
      <c r="AB551" s="82"/>
      <c r="AC551" s="82"/>
      <c r="AD551" s="85" t="s">
        <v>2423</v>
      </c>
      <c r="AE551" s="84" t="str">
        <f>REPLACE(INDEX(GroupVertices[Group],MATCH("~"&amp;Edges[[#This Row],[Vertex 1]],GroupVertices[Vertex],0)),1,1,"")</f>
        <v>2</v>
      </c>
      <c r="AF551" s="84" t="str">
        <f>REPLACE(INDEX(GroupVertices[Group],MATCH("~"&amp;Edges[[#This Row],[Vertex 2]],GroupVertices[Vertex],0)),1,1,"")</f>
        <v>2</v>
      </c>
    </row>
    <row r="552" spans="1:32" ht="15">
      <c r="A552" s="66" t="s">
        <v>708</v>
      </c>
      <c r="B552" s="66" t="s">
        <v>905</v>
      </c>
      <c r="C552" s="67"/>
      <c r="D552" s="68"/>
      <c r="E552" s="69"/>
      <c r="F552" s="70"/>
      <c r="G552" s="67"/>
      <c r="H552" s="71"/>
      <c r="I552" s="72"/>
      <c r="J552" s="72"/>
      <c r="K552" s="35"/>
      <c r="L552" s="80">
        <v>552</v>
      </c>
      <c r="M552" s="80"/>
      <c r="N552" s="74"/>
      <c r="O552" s="82" t="s">
        <v>909</v>
      </c>
      <c r="P552" s="82" t="s">
        <v>197</v>
      </c>
      <c r="Q552" s="85" t="s">
        <v>1458</v>
      </c>
      <c r="R552" s="82" t="s">
        <v>708</v>
      </c>
      <c r="S552" s="82" t="s">
        <v>2174</v>
      </c>
      <c r="T552" s="87" t="str">
        <f>HYPERLINK("http://www.youtube.com/channel/UCJLZIBSM0wOz2jdSdUhV31g")</f>
        <v>http://www.youtube.com/channel/UCJLZIBSM0wOz2jdSdUhV31g</v>
      </c>
      <c r="U552" s="82"/>
      <c r="V552" s="82" t="s">
        <v>2373</v>
      </c>
      <c r="W552" s="87" t="str">
        <f t="shared" si="24"/>
        <v>https://www.youtube.com/watch?v=za6dE5JrNB0</v>
      </c>
      <c r="X552" s="82" t="s">
        <v>2384</v>
      </c>
      <c r="Y552" s="82">
        <v>0</v>
      </c>
      <c r="Z552" s="89">
        <v>45238.412766203706</v>
      </c>
      <c r="AA552" s="89">
        <v>45238.412766203706</v>
      </c>
      <c r="AB552" s="82"/>
      <c r="AC552" s="82"/>
      <c r="AD552" s="85" t="s">
        <v>2423</v>
      </c>
      <c r="AE552" s="84" t="str">
        <f>REPLACE(INDEX(GroupVertices[Group],MATCH("~"&amp;Edges[[#This Row],[Vertex 1]],GroupVertices[Vertex],0)),1,1,"")</f>
        <v>2</v>
      </c>
      <c r="AF552" s="84" t="str">
        <f>REPLACE(INDEX(GroupVertices[Group],MATCH("~"&amp;Edges[[#This Row],[Vertex 2]],GroupVertices[Vertex],0)),1,1,"")</f>
        <v>2</v>
      </c>
    </row>
    <row r="553" spans="1:32" ht="15">
      <c r="A553" s="66" t="s">
        <v>709</v>
      </c>
      <c r="B553" s="66" t="s">
        <v>905</v>
      </c>
      <c r="C553" s="67"/>
      <c r="D553" s="68"/>
      <c r="E553" s="69"/>
      <c r="F553" s="70"/>
      <c r="G553" s="67"/>
      <c r="H553" s="71"/>
      <c r="I553" s="72"/>
      <c r="J553" s="72"/>
      <c r="K553" s="35"/>
      <c r="L553" s="80">
        <v>553</v>
      </c>
      <c r="M553" s="80"/>
      <c r="N553" s="74"/>
      <c r="O553" s="82" t="s">
        <v>909</v>
      </c>
      <c r="P553" s="82" t="s">
        <v>197</v>
      </c>
      <c r="Q553" s="85" t="s">
        <v>1459</v>
      </c>
      <c r="R553" s="82" t="s">
        <v>709</v>
      </c>
      <c r="S553" s="82" t="s">
        <v>2175</v>
      </c>
      <c r="T553" s="87" t="str">
        <f>HYPERLINK("http://www.youtube.com/channel/UC7bKpW_RfRCUpXfLXoP2WSw")</f>
        <v>http://www.youtube.com/channel/UC7bKpW_RfRCUpXfLXoP2WSw</v>
      </c>
      <c r="U553" s="82"/>
      <c r="V553" s="82" t="s">
        <v>2373</v>
      </c>
      <c r="W553" s="87" t="str">
        <f t="shared" si="24"/>
        <v>https://www.youtube.com/watch?v=za6dE5JrNB0</v>
      </c>
      <c r="X553" s="82" t="s">
        <v>2384</v>
      </c>
      <c r="Y553" s="82">
        <v>0</v>
      </c>
      <c r="Z553" s="89">
        <v>45240.331458333334</v>
      </c>
      <c r="AA553" s="89">
        <v>45240.331458333334</v>
      </c>
      <c r="AB553" s="82"/>
      <c r="AC553" s="82"/>
      <c r="AD553" s="85" t="s">
        <v>2423</v>
      </c>
      <c r="AE553" s="84" t="str">
        <f>REPLACE(INDEX(GroupVertices[Group],MATCH("~"&amp;Edges[[#This Row],[Vertex 1]],GroupVertices[Vertex],0)),1,1,"")</f>
        <v>2</v>
      </c>
      <c r="AF553" s="84" t="str">
        <f>REPLACE(INDEX(GroupVertices[Group],MATCH("~"&amp;Edges[[#This Row],[Vertex 2]],GroupVertices[Vertex],0)),1,1,"")</f>
        <v>2</v>
      </c>
    </row>
    <row r="554" spans="1:32" ht="15">
      <c r="A554" s="66" t="s">
        <v>710</v>
      </c>
      <c r="B554" s="66" t="s">
        <v>905</v>
      </c>
      <c r="C554" s="67"/>
      <c r="D554" s="68"/>
      <c r="E554" s="69"/>
      <c r="F554" s="70"/>
      <c r="G554" s="67"/>
      <c r="H554" s="71"/>
      <c r="I554" s="72"/>
      <c r="J554" s="72"/>
      <c r="K554" s="35"/>
      <c r="L554" s="80">
        <v>554</v>
      </c>
      <c r="M554" s="80"/>
      <c r="N554" s="74"/>
      <c r="O554" s="82" t="s">
        <v>909</v>
      </c>
      <c r="P554" s="82" t="s">
        <v>197</v>
      </c>
      <c r="Q554" s="85" t="s">
        <v>1460</v>
      </c>
      <c r="R554" s="82" t="s">
        <v>710</v>
      </c>
      <c r="S554" s="82" t="s">
        <v>2176</v>
      </c>
      <c r="T554" s="87" t="str">
        <f>HYPERLINK("http://www.youtube.com/channel/UCr1Byyao5_vJI9c9nBU6S_w")</f>
        <v>http://www.youtube.com/channel/UCr1Byyao5_vJI9c9nBU6S_w</v>
      </c>
      <c r="U554" s="82"/>
      <c r="V554" s="82" t="s">
        <v>2373</v>
      </c>
      <c r="W554" s="87" t="str">
        <f t="shared" si="24"/>
        <v>https://www.youtube.com/watch?v=za6dE5JrNB0</v>
      </c>
      <c r="X554" s="82" t="s">
        <v>2384</v>
      </c>
      <c r="Y554" s="82">
        <v>0</v>
      </c>
      <c r="Z554" s="89">
        <v>45240.8984837963</v>
      </c>
      <c r="AA554" s="89">
        <v>45240.8984837963</v>
      </c>
      <c r="AB554" s="82"/>
      <c r="AC554" s="82"/>
      <c r="AD554" s="85" t="s">
        <v>2423</v>
      </c>
      <c r="AE554" s="84" t="str">
        <f>REPLACE(INDEX(GroupVertices[Group],MATCH("~"&amp;Edges[[#This Row],[Vertex 1]],GroupVertices[Vertex],0)),1,1,"")</f>
        <v>2</v>
      </c>
      <c r="AF554" s="84" t="str">
        <f>REPLACE(INDEX(GroupVertices[Group],MATCH("~"&amp;Edges[[#This Row],[Vertex 2]],GroupVertices[Vertex],0)),1,1,"")</f>
        <v>2</v>
      </c>
    </row>
    <row r="555" spans="1:32" ht="15">
      <c r="A555" s="66" t="s">
        <v>711</v>
      </c>
      <c r="B555" s="66" t="s">
        <v>905</v>
      </c>
      <c r="C555" s="67"/>
      <c r="D555" s="68"/>
      <c r="E555" s="69"/>
      <c r="F555" s="70"/>
      <c r="G555" s="67"/>
      <c r="H555" s="71"/>
      <c r="I555" s="72"/>
      <c r="J555" s="72"/>
      <c r="K555" s="35"/>
      <c r="L555" s="80">
        <v>555</v>
      </c>
      <c r="M555" s="80"/>
      <c r="N555" s="74"/>
      <c r="O555" s="82" t="s">
        <v>909</v>
      </c>
      <c r="P555" s="82" t="s">
        <v>197</v>
      </c>
      <c r="Q555" s="85" t="s">
        <v>1461</v>
      </c>
      <c r="R555" s="82" t="s">
        <v>711</v>
      </c>
      <c r="S555" s="82" t="s">
        <v>2177</v>
      </c>
      <c r="T555" s="87" t="str">
        <f>HYPERLINK("http://www.youtube.com/channel/UCRHGZmpFp_KbuIJw4JNaeeQ")</f>
        <v>http://www.youtube.com/channel/UCRHGZmpFp_KbuIJw4JNaeeQ</v>
      </c>
      <c r="U555" s="82"/>
      <c r="V555" s="82" t="s">
        <v>2373</v>
      </c>
      <c r="W555" s="87" t="str">
        <f t="shared" si="24"/>
        <v>https://www.youtube.com/watch?v=za6dE5JrNB0</v>
      </c>
      <c r="X555" s="82" t="s">
        <v>2384</v>
      </c>
      <c r="Y555" s="82">
        <v>0</v>
      </c>
      <c r="Z555" s="89">
        <v>45243.65127314815</v>
      </c>
      <c r="AA555" s="89">
        <v>45243.65180555556</v>
      </c>
      <c r="AB555" s="82"/>
      <c r="AC555" s="82"/>
      <c r="AD555" s="85" t="s">
        <v>2423</v>
      </c>
      <c r="AE555" s="84" t="str">
        <f>REPLACE(INDEX(GroupVertices[Group],MATCH("~"&amp;Edges[[#This Row],[Vertex 1]],GroupVertices[Vertex],0)),1,1,"")</f>
        <v>2</v>
      </c>
      <c r="AF555" s="84" t="str">
        <f>REPLACE(INDEX(GroupVertices[Group],MATCH("~"&amp;Edges[[#This Row],[Vertex 2]],GroupVertices[Vertex],0)),1,1,"")</f>
        <v>2</v>
      </c>
    </row>
    <row r="556" spans="1:32" ht="15">
      <c r="A556" s="66" t="s">
        <v>712</v>
      </c>
      <c r="B556" s="66" t="s">
        <v>905</v>
      </c>
      <c r="C556" s="67"/>
      <c r="D556" s="68"/>
      <c r="E556" s="69"/>
      <c r="F556" s="70"/>
      <c r="G556" s="67"/>
      <c r="H556" s="71"/>
      <c r="I556" s="72"/>
      <c r="J556" s="72"/>
      <c r="K556" s="35"/>
      <c r="L556" s="80">
        <v>556</v>
      </c>
      <c r="M556" s="80"/>
      <c r="N556" s="74"/>
      <c r="O556" s="82" t="s">
        <v>909</v>
      </c>
      <c r="P556" s="82" t="s">
        <v>197</v>
      </c>
      <c r="Q556" s="85" t="s">
        <v>1462</v>
      </c>
      <c r="R556" s="82" t="s">
        <v>712</v>
      </c>
      <c r="S556" s="82" t="s">
        <v>2178</v>
      </c>
      <c r="T556" s="87" t="str">
        <f>HYPERLINK("http://www.youtube.com/channel/UCpHYBnuR6gE7Fm7MFb61seA")</f>
        <v>http://www.youtube.com/channel/UCpHYBnuR6gE7Fm7MFb61seA</v>
      </c>
      <c r="U556" s="82"/>
      <c r="V556" s="82" t="s">
        <v>2373</v>
      </c>
      <c r="W556" s="87" t="str">
        <f t="shared" si="24"/>
        <v>https://www.youtube.com/watch?v=za6dE5JrNB0</v>
      </c>
      <c r="X556" s="82" t="s">
        <v>2384</v>
      </c>
      <c r="Y556" s="82">
        <v>0</v>
      </c>
      <c r="Z556" s="89">
        <v>45244.92309027778</v>
      </c>
      <c r="AA556" s="89">
        <v>45244.92309027778</v>
      </c>
      <c r="AB556" s="82"/>
      <c r="AC556" s="82"/>
      <c r="AD556" s="85" t="s">
        <v>2423</v>
      </c>
      <c r="AE556" s="84" t="str">
        <f>REPLACE(INDEX(GroupVertices[Group],MATCH("~"&amp;Edges[[#This Row],[Vertex 1]],GroupVertices[Vertex],0)),1,1,"")</f>
        <v>2</v>
      </c>
      <c r="AF556" s="84" t="str">
        <f>REPLACE(INDEX(GroupVertices[Group],MATCH("~"&amp;Edges[[#This Row],[Vertex 2]],GroupVertices[Vertex],0)),1,1,"")</f>
        <v>2</v>
      </c>
    </row>
    <row r="557" spans="1:32" ht="15">
      <c r="A557" s="66" t="s">
        <v>713</v>
      </c>
      <c r="B557" s="66" t="s">
        <v>905</v>
      </c>
      <c r="C557" s="67"/>
      <c r="D557" s="68"/>
      <c r="E557" s="69"/>
      <c r="F557" s="70"/>
      <c r="G557" s="67"/>
      <c r="H557" s="71"/>
      <c r="I557" s="72"/>
      <c r="J557" s="72"/>
      <c r="K557" s="35"/>
      <c r="L557" s="80">
        <v>557</v>
      </c>
      <c r="M557" s="80"/>
      <c r="N557" s="74"/>
      <c r="O557" s="82" t="s">
        <v>909</v>
      </c>
      <c r="P557" s="82" t="s">
        <v>197</v>
      </c>
      <c r="Q557" s="85" t="s">
        <v>1463</v>
      </c>
      <c r="R557" s="82" t="s">
        <v>713</v>
      </c>
      <c r="S557" s="82" t="s">
        <v>2179</v>
      </c>
      <c r="T557" s="87" t="str">
        <f>HYPERLINK("http://www.youtube.com/channel/UCgNC8-Mzcm8hmqyXZ6a_yvg")</f>
        <v>http://www.youtube.com/channel/UCgNC8-Mzcm8hmqyXZ6a_yvg</v>
      </c>
      <c r="U557" s="82"/>
      <c r="V557" s="82" t="s">
        <v>2373</v>
      </c>
      <c r="W557" s="87" t="str">
        <f t="shared" si="24"/>
        <v>https://www.youtube.com/watch?v=za6dE5JrNB0</v>
      </c>
      <c r="X557" s="82" t="s">
        <v>2384</v>
      </c>
      <c r="Y557" s="82">
        <v>0</v>
      </c>
      <c r="Z557" s="89">
        <v>45252.482835648145</v>
      </c>
      <c r="AA557" s="89">
        <v>45252.482835648145</v>
      </c>
      <c r="AB557" s="82"/>
      <c r="AC557" s="82"/>
      <c r="AD557" s="85" t="s">
        <v>2423</v>
      </c>
      <c r="AE557" s="84" t="str">
        <f>REPLACE(INDEX(GroupVertices[Group],MATCH("~"&amp;Edges[[#This Row],[Vertex 1]],GroupVertices[Vertex],0)),1,1,"")</f>
        <v>2</v>
      </c>
      <c r="AF557" s="84" t="str">
        <f>REPLACE(INDEX(GroupVertices[Group],MATCH("~"&amp;Edges[[#This Row],[Vertex 2]],GroupVertices[Vertex],0)),1,1,"")</f>
        <v>2</v>
      </c>
    </row>
    <row r="558" spans="1:32" ht="15">
      <c r="A558" s="66" t="s">
        <v>714</v>
      </c>
      <c r="B558" s="66" t="s">
        <v>905</v>
      </c>
      <c r="C558" s="67"/>
      <c r="D558" s="68"/>
      <c r="E558" s="69"/>
      <c r="F558" s="70"/>
      <c r="G558" s="67"/>
      <c r="H558" s="71"/>
      <c r="I558" s="72"/>
      <c r="J558" s="72"/>
      <c r="K558" s="35"/>
      <c r="L558" s="80">
        <v>558</v>
      </c>
      <c r="M558" s="80"/>
      <c r="N558" s="74"/>
      <c r="O558" s="82" t="s">
        <v>909</v>
      </c>
      <c r="P558" s="82" t="s">
        <v>197</v>
      </c>
      <c r="Q558" s="85" t="s">
        <v>1464</v>
      </c>
      <c r="R558" s="82" t="s">
        <v>714</v>
      </c>
      <c r="S558" s="82" t="s">
        <v>2180</v>
      </c>
      <c r="T558" s="87" t="str">
        <f>HYPERLINK("http://www.youtube.com/channel/UCQ88j29qn61pMcOWG5aAwkQ")</f>
        <v>http://www.youtube.com/channel/UCQ88j29qn61pMcOWG5aAwkQ</v>
      </c>
      <c r="U558" s="82"/>
      <c r="V558" s="82" t="s">
        <v>2373</v>
      </c>
      <c r="W558" s="87" t="str">
        <f t="shared" si="24"/>
        <v>https://www.youtube.com/watch?v=za6dE5JrNB0</v>
      </c>
      <c r="X558" s="82" t="s">
        <v>2384</v>
      </c>
      <c r="Y558" s="82">
        <v>1</v>
      </c>
      <c r="Z558" s="89">
        <v>45254.554930555554</v>
      </c>
      <c r="AA558" s="89">
        <v>45254.554930555554</v>
      </c>
      <c r="AB558" s="82"/>
      <c r="AC558" s="82"/>
      <c r="AD558" s="85" t="s">
        <v>2423</v>
      </c>
      <c r="AE558" s="84" t="str">
        <f>REPLACE(INDEX(GroupVertices[Group],MATCH("~"&amp;Edges[[#This Row],[Vertex 1]],GroupVertices[Vertex],0)),1,1,"")</f>
        <v>2</v>
      </c>
      <c r="AF558" s="84" t="str">
        <f>REPLACE(INDEX(GroupVertices[Group],MATCH("~"&amp;Edges[[#This Row],[Vertex 2]],GroupVertices[Vertex],0)),1,1,"")</f>
        <v>2</v>
      </c>
    </row>
    <row r="559" spans="1:32" ht="15">
      <c r="A559" s="66" t="s">
        <v>715</v>
      </c>
      <c r="B559" s="66" t="s">
        <v>905</v>
      </c>
      <c r="C559" s="67"/>
      <c r="D559" s="68"/>
      <c r="E559" s="69"/>
      <c r="F559" s="70"/>
      <c r="G559" s="67"/>
      <c r="H559" s="71"/>
      <c r="I559" s="72"/>
      <c r="J559" s="72"/>
      <c r="K559" s="35"/>
      <c r="L559" s="80">
        <v>559</v>
      </c>
      <c r="M559" s="80"/>
      <c r="N559" s="74"/>
      <c r="O559" s="82" t="s">
        <v>909</v>
      </c>
      <c r="P559" s="82" t="s">
        <v>197</v>
      </c>
      <c r="Q559" s="85" t="s">
        <v>1465</v>
      </c>
      <c r="R559" s="82" t="s">
        <v>715</v>
      </c>
      <c r="S559" s="82" t="s">
        <v>2181</v>
      </c>
      <c r="T559" s="87" t="str">
        <f>HYPERLINK("http://www.youtube.com/channel/UCZ5H-Ryudp-1KT5pzzCM0uQ")</f>
        <v>http://www.youtube.com/channel/UCZ5H-Ryudp-1KT5pzzCM0uQ</v>
      </c>
      <c r="U559" s="82"/>
      <c r="V559" s="82" t="s">
        <v>2373</v>
      </c>
      <c r="W559" s="87" t="str">
        <f t="shared" si="24"/>
        <v>https://www.youtube.com/watch?v=za6dE5JrNB0</v>
      </c>
      <c r="X559" s="82" t="s">
        <v>2384</v>
      </c>
      <c r="Y559" s="82">
        <v>1</v>
      </c>
      <c r="Z559" s="89">
        <v>45263.06568287037</v>
      </c>
      <c r="AA559" s="89">
        <v>45263.076053240744</v>
      </c>
      <c r="AB559" s="82"/>
      <c r="AC559" s="82"/>
      <c r="AD559" s="85" t="s">
        <v>2423</v>
      </c>
      <c r="AE559" s="84" t="str">
        <f>REPLACE(INDEX(GroupVertices[Group],MATCH("~"&amp;Edges[[#This Row],[Vertex 1]],GroupVertices[Vertex],0)),1,1,"")</f>
        <v>2</v>
      </c>
      <c r="AF559" s="84" t="str">
        <f>REPLACE(INDEX(GroupVertices[Group],MATCH("~"&amp;Edges[[#This Row],[Vertex 2]],GroupVertices[Vertex],0)),1,1,"")</f>
        <v>2</v>
      </c>
    </row>
    <row r="560" spans="1:32" ht="15">
      <c r="A560" s="66" t="s">
        <v>716</v>
      </c>
      <c r="B560" s="66" t="s">
        <v>905</v>
      </c>
      <c r="C560" s="67"/>
      <c r="D560" s="68"/>
      <c r="E560" s="69"/>
      <c r="F560" s="70"/>
      <c r="G560" s="67"/>
      <c r="H560" s="71"/>
      <c r="I560" s="72"/>
      <c r="J560" s="72"/>
      <c r="K560" s="35"/>
      <c r="L560" s="80">
        <v>560</v>
      </c>
      <c r="M560" s="80"/>
      <c r="N560" s="74"/>
      <c r="O560" s="82" t="s">
        <v>909</v>
      </c>
      <c r="P560" s="82" t="s">
        <v>197</v>
      </c>
      <c r="Q560" s="85" t="s">
        <v>1466</v>
      </c>
      <c r="R560" s="82" t="s">
        <v>716</v>
      </c>
      <c r="S560" s="82" t="s">
        <v>2182</v>
      </c>
      <c r="T560" s="87" t="str">
        <f>HYPERLINK("http://www.youtube.com/channel/UC3vecQrCXGlbLOmtPBiDp0w")</f>
        <v>http://www.youtube.com/channel/UC3vecQrCXGlbLOmtPBiDp0w</v>
      </c>
      <c r="U560" s="82"/>
      <c r="V560" s="82" t="s">
        <v>2373</v>
      </c>
      <c r="W560" s="87" t="str">
        <f t="shared" si="24"/>
        <v>https://www.youtube.com/watch?v=za6dE5JrNB0</v>
      </c>
      <c r="X560" s="82" t="s">
        <v>2384</v>
      </c>
      <c r="Y560" s="82">
        <v>1</v>
      </c>
      <c r="Z560" s="89">
        <v>45298.218090277776</v>
      </c>
      <c r="AA560" s="89">
        <v>45298.218090277776</v>
      </c>
      <c r="AB560" s="82"/>
      <c r="AC560" s="82"/>
      <c r="AD560" s="85" t="s">
        <v>2423</v>
      </c>
      <c r="AE560" s="84" t="str">
        <f>REPLACE(INDEX(GroupVertices[Group],MATCH("~"&amp;Edges[[#This Row],[Vertex 1]],GroupVertices[Vertex],0)),1,1,"")</f>
        <v>2</v>
      </c>
      <c r="AF560" s="84" t="str">
        <f>REPLACE(INDEX(GroupVertices[Group],MATCH("~"&amp;Edges[[#This Row],[Vertex 2]],GroupVertices[Vertex],0)),1,1,"")</f>
        <v>2</v>
      </c>
    </row>
    <row r="561" spans="1:32" ht="15">
      <c r="A561" s="66" t="s">
        <v>717</v>
      </c>
      <c r="B561" s="66" t="s">
        <v>905</v>
      </c>
      <c r="C561" s="67"/>
      <c r="D561" s="68"/>
      <c r="E561" s="69"/>
      <c r="F561" s="70"/>
      <c r="G561" s="67"/>
      <c r="H561" s="71"/>
      <c r="I561" s="72"/>
      <c r="J561" s="72"/>
      <c r="K561" s="35"/>
      <c r="L561" s="80">
        <v>561</v>
      </c>
      <c r="M561" s="80"/>
      <c r="N561" s="74"/>
      <c r="O561" s="82" t="s">
        <v>909</v>
      </c>
      <c r="P561" s="82" t="s">
        <v>197</v>
      </c>
      <c r="Q561" s="85" t="s">
        <v>1467</v>
      </c>
      <c r="R561" s="82" t="s">
        <v>717</v>
      </c>
      <c r="S561" s="82" t="s">
        <v>2183</v>
      </c>
      <c r="T561" s="87" t="str">
        <f>HYPERLINK("http://www.youtube.com/channel/UCK67D_PUDf6n6eL_SL-dD7w")</f>
        <v>http://www.youtube.com/channel/UCK67D_PUDf6n6eL_SL-dD7w</v>
      </c>
      <c r="U561" s="82"/>
      <c r="V561" s="82" t="s">
        <v>2373</v>
      </c>
      <c r="W561" s="87" t="str">
        <f t="shared" si="24"/>
        <v>https://www.youtube.com/watch?v=za6dE5JrNB0</v>
      </c>
      <c r="X561" s="82" t="s">
        <v>2384</v>
      </c>
      <c r="Y561" s="82">
        <v>0</v>
      </c>
      <c r="Z561" s="89">
        <v>45303.07417824074</v>
      </c>
      <c r="AA561" s="89">
        <v>45303.07417824074</v>
      </c>
      <c r="AB561" s="82"/>
      <c r="AC561" s="82"/>
      <c r="AD561" s="85" t="s">
        <v>2423</v>
      </c>
      <c r="AE561" s="84" t="str">
        <f>REPLACE(INDEX(GroupVertices[Group],MATCH("~"&amp;Edges[[#This Row],[Vertex 1]],GroupVertices[Vertex],0)),1,1,"")</f>
        <v>2</v>
      </c>
      <c r="AF561" s="84" t="str">
        <f>REPLACE(INDEX(GroupVertices[Group],MATCH("~"&amp;Edges[[#This Row],[Vertex 2]],GroupVertices[Vertex],0)),1,1,"")</f>
        <v>2</v>
      </c>
    </row>
    <row r="562" spans="1:32" ht="15">
      <c r="A562" s="66" t="s">
        <v>718</v>
      </c>
      <c r="B562" s="66" t="s">
        <v>906</v>
      </c>
      <c r="C562" s="67"/>
      <c r="D562" s="68"/>
      <c r="E562" s="69"/>
      <c r="F562" s="70"/>
      <c r="G562" s="67"/>
      <c r="H562" s="71"/>
      <c r="I562" s="72"/>
      <c r="J562" s="72"/>
      <c r="K562" s="35"/>
      <c r="L562" s="80">
        <v>562</v>
      </c>
      <c r="M562" s="80"/>
      <c r="N562" s="74"/>
      <c r="O562" s="82" t="s">
        <v>909</v>
      </c>
      <c r="P562" s="82" t="s">
        <v>197</v>
      </c>
      <c r="Q562" s="85" t="s">
        <v>1468</v>
      </c>
      <c r="R562" s="82" t="s">
        <v>718</v>
      </c>
      <c r="S562" s="82" t="s">
        <v>2184</v>
      </c>
      <c r="T562" s="87" t="str">
        <f>HYPERLINK("http://www.youtube.com/channel/UCClOVIUJQLaV2eORUThj9Kg")</f>
        <v>http://www.youtube.com/channel/UCClOVIUJQLaV2eORUThj9Kg</v>
      </c>
      <c r="U562" s="82"/>
      <c r="V562" s="82" t="s">
        <v>2374</v>
      </c>
      <c r="W562" s="87" t="str">
        <f aca="true" t="shared" si="25" ref="W562:W593">HYPERLINK("https://www.youtube.com/watch?v=UVf2Yw7uFoE")</f>
        <v>https://www.youtube.com/watch?v=UVf2Yw7uFoE</v>
      </c>
      <c r="X562" s="82" t="s">
        <v>2384</v>
      </c>
      <c r="Y562" s="82">
        <v>3</v>
      </c>
      <c r="Z562" s="89">
        <v>45269.679131944446</v>
      </c>
      <c r="AA562" s="89">
        <v>45269.679131944446</v>
      </c>
      <c r="AB562" s="82"/>
      <c r="AC562" s="82"/>
      <c r="AD562" s="85" t="s">
        <v>2423</v>
      </c>
      <c r="AE562" s="84" t="str">
        <f>REPLACE(INDEX(GroupVertices[Group],MATCH("~"&amp;Edges[[#This Row],[Vertex 1]],GroupVertices[Vertex],0)),1,1,"")</f>
        <v>5</v>
      </c>
      <c r="AF562" s="84" t="str">
        <f>REPLACE(INDEX(GroupVertices[Group],MATCH("~"&amp;Edges[[#This Row],[Vertex 2]],GroupVertices[Vertex],0)),1,1,"")</f>
        <v>5</v>
      </c>
    </row>
    <row r="563" spans="1:32" ht="15">
      <c r="A563" s="66" t="s">
        <v>719</v>
      </c>
      <c r="B563" s="66" t="s">
        <v>906</v>
      </c>
      <c r="C563" s="67"/>
      <c r="D563" s="68"/>
      <c r="E563" s="69"/>
      <c r="F563" s="70"/>
      <c r="G563" s="67"/>
      <c r="H563" s="71"/>
      <c r="I563" s="72"/>
      <c r="J563" s="72"/>
      <c r="K563" s="35"/>
      <c r="L563" s="80">
        <v>563</v>
      </c>
      <c r="M563" s="80"/>
      <c r="N563" s="74"/>
      <c r="O563" s="82" t="s">
        <v>909</v>
      </c>
      <c r="P563" s="82" t="s">
        <v>197</v>
      </c>
      <c r="Q563" s="85" t="s">
        <v>1469</v>
      </c>
      <c r="R563" s="82" t="s">
        <v>719</v>
      </c>
      <c r="S563" s="82" t="s">
        <v>2185</v>
      </c>
      <c r="T563" s="87" t="str">
        <f>HYPERLINK("http://www.youtube.com/channel/UCaQFmitTZ5Pf_S-Oq02pvtg")</f>
        <v>http://www.youtube.com/channel/UCaQFmitTZ5Pf_S-Oq02pvtg</v>
      </c>
      <c r="U563" s="82"/>
      <c r="V563" s="82" t="s">
        <v>2374</v>
      </c>
      <c r="W563" s="87" t="str">
        <f t="shared" si="25"/>
        <v>https://www.youtube.com/watch?v=UVf2Yw7uFoE</v>
      </c>
      <c r="X563" s="82" t="s">
        <v>2384</v>
      </c>
      <c r="Y563" s="82">
        <v>0</v>
      </c>
      <c r="Z563" s="89">
        <v>45270.15324074074</v>
      </c>
      <c r="AA563" s="89">
        <v>45270.15324074074</v>
      </c>
      <c r="AB563" s="82"/>
      <c r="AC563" s="82"/>
      <c r="AD563" s="85" t="s">
        <v>2423</v>
      </c>
      <c r="AE563" s="84" t="str">
        <f>REPLACE(INDEX(GroupVertices[Group],MATCH("~"&amp;Edges[[#This Row],[Vertex 1]],GroupVertices[Vertex],0)),1,1,"")</f>
        <v>5</v>
      </c>
      <c r="AF563" s="84" t="str">
        <f>REPLACE(INDEX(GroupVertices[Group],MATCH("~"&amp;Edges[[#This Row],[Vertex 2]],GroupVertices[Vertex],0)),1,1,"")</f>
        <v>5</v>
      </c>
    </row>
    <row r="564" spans="1:32" ht="15">
      <c r="A564" s="66" t="s">
        <v>720</v>
      </c>
      <c r="B564" s="66" t="s">
        <v>906</v>
      </c>
      <c r="C564" s="67"/>
      <c r="D564" s="68"/>
      <c r="E564" s="69"/>
      <c r="F564" s="70"/>
      <c r="G564" s="67"/>
      <c r="H564" s="71"/>
      <c r="I564" s="72"/>
      <c r="J564" s="72"/>
      <c r="K564" s="35"/>
      <c r="L564" s="80">
        <v>564</v>
      </c>
      <c r="M564" s="80"/>
      <c r="N564" s="74"/>
      <c r="O564" s="82" t="s">
        <v>909</v>
      </c>
      <c r="P564" s="82" t="s">
        <v>197</v>
      </c>
      <c r="Q564" s="85" t="s">
        <v>1470</v>
      </c>
      <c r="R564" s="82" t="s">
        <v>720</v>
      </c>
      <c r="S564" s="82" t="s">
        <v>2186</v>
      </c>
      <c r="T564" s="87" t="str">
        <f>HYPERLINK("http://www.youtube.com/channel/UCB-am98os4D1ZfzsmK0kXCw")</f>
        <v>http://www.youtube.com/channel/UCB-am98os4D1ZfzsmK0kXCw</v>
      </c>
      <c r="U564" s="82"/>
      <c r="V564" s="82" t="s">
        <v>2374</v>
      </c>
      <c r="W564" s="87" t="str">
        <f t="shared" si="25"/>
        <v>https://www.youtube.com/watch?v=UVf2Yw7uFoE</v>
      </c>
      <c r="X564" s="82" t="s">
        <v>2384</v>
      </c>
      <c r="Y564" s="82">
        <v>1</v>
      </c>
      <c r="Z564" s="89">
        <v>45270.40592592592</v>
      </c>
      <c r="AA564" s="89">
        <v>45270.40592592592</v>
      </c>
      <c r="AB564" s="82"/>
      <c r="AC564" s="82"/>
      <c r="AD564" s="85" t="s">
        <v>2423</v>
      </c>
      <c r="AE564" s="84" t="str">
        <f>REPLACE(INDEX(GroupVertices[Group],MATCH("~"&amp;Edges[[#This Row],[Vertex 1]],GroupVertices[Vertex],0)),1,1,"")</f>
        <v>5</v>
      </c>
      <c r="AF564" s="84" t="str">
        <f>REPLACE(INDEX(GroupVertices[Group],MATCH("~"&amp;Edges[[#This Row],[Vertex 2]],GroupVertices[Vertex],0)),1,1,"")</f>
        <v>5</v>
      </c>
    </row>
    <row r="565" spans="1:32" ht="15">
      <c r="A565" s="66" t="s">
        <v>721</v>
      </c>
      <c r="B565" s="66" t="s">
        <v>906</v>
      </c>
      <c r="C565" s="67"/>
      <c r="D565" s="68"/>
      <c r="E565" s="69"/>
      <c r="F565" s="70"/>
      <c r="G565" s="67"/>
      <c r="H565" s="71"/>
      <c r="I565" s="72"/>
      <c r="J565" s="72"/>
      <c r="K565" s="35"/>
      <c r="L565" s="80">
        <v>565</v>
      </c>
      <c r="M565" s="80"/>
      <c r="N565" s="74"/>
      <c r="O565" s="82" t="s">
        <v>909</v>
      </c>
      <c r="P565" s="82" t="s">
        <v>197</v>
      </c>
      <c r="Q565" s="85" t="s">
        <v>1471</v>
      </c>
      <c r="R565" s="82" t="s">
        <v>721</v>
      </c>
      <c r="S565" s="82" t="s">
        <v>2187</v>
      </c>
      <c r="T565" s="87" t="str">
        <f>HYPERLINK("http://www.youtube.com/channel/UCWFhQMHtP9Fg44_YwhySctA")</f>
        <v>http://www.youtube.com/channel/UCWFhQMHtP9Fg44_YwhySctA</v>
      </c>
      <c r="U565" s="82"/>
      <c r="V565" s="82" t="s">
        <v>2374</v>
      </c>
      <c r="W565" s="87" t="str">
        <f t="shared" si="25"/>
        <v>https://www.youtube.com/watch?v=UVf2Yw7uFoE</v>
      </c>
      <c r="X565" s="82" t="s">
        <v>2384</v>
      </c>
      <c r="Y565" s="82">
        <v>0</v>
      </c>
      <c r="Z565" s="89">
        <v>45270.48324074074</v>
      </c>
      <c r="AA565" s="89">
        <v>45270.48324074074</v>
      </c>
      <c r="AB565" s="82"/>
      <c r="AC565" s="82"/>
      <c r="AD565" s="85" t="s">
        <v>2423</v>
      </c>
      <c r="AE565" s="84" t="str">
        <f>REPLACE(INDEX(GroupVertices[Group],MATCH("~"&amp;Edges[[#This Row],[Vertex 1]],GroupVertices[Vertex],0)),1,1,"")</f>
        <v>5</v>
      </c>
      <c r="AF565" s="84" t="str">
        <f>REPLACE(INDEX(GroupVertices[Group],MATCH("~"&amp;Edges[[#This Row],[Vertex 2]],GroupVertices[Vertex],0)),1,1,"")</f>
        <v>5</v>
      </c>
    </row>
    <row r="566" spans="1:32" ht="15">
      <c r="A566" s="66" t="s">
        <v>722</v>
      </c>
      <c r="B566" s="66" t="s">
        <v>906</v>
      </c>
      <c r="C566" s="67"/>
      <c r="D566" s="68"/>
      <c r="E566" s="69"/>
      <c r="F566" s="70"/>
      <c r="G566" s="67"/>
      <c r="H566" s="71"/>
      <c r="I566" s="72"/>
      <c r="J566" s="72"/>
      <c r="K566" s="35"/>
      <c r="L566" s="80">
        <v>566</v>
      </c>
      <c r="M566" s="80"/>
      <c r="N566" s="74"/>
      <c r="O566" s="82" t="s">
        <v>909</v>
      </c>
      <c r="P566" s="82" t="s">
        <v>197</v>
      </c>
      <c r="Q566" s="85" t="s">
        <v>1472</v>
      </c>
      <c r="R566" s="82" t="s">
        <v>722</v>
      </c>
      <c r="S566" s="82" t="s">
        <v>2188</v>
      </c>
      <c r="T566" s="87" t="str">
        <f>HYPERLINK("http://www.youtube.com/channel/UCrUmtb_UJcfBDmd0GeFyPQQ")</f>
        <v>http://www.youtube.com/channel/UCrUmtb_UJcfBDmd0GeFyPQQ</v>
      </c>
      <c r="U566" s="82"/>
      <c r="V566" s="82" t="s">
        <v>2374</v>
      </c>
      <c r="W566" s="87" t="str">
        <f t="shared" si="25"/>
        <v>https://www.youtube.com/watch?v=UVf2Yw7uFoE</v>
      </c>
      <c r="X566" s="82" t="s">
        <v>2384</v>
      </c>
      <c r="Y566" s="82">
        <v>0</v>
      </c>
      <c r="Z566" s="89">
        <v>45270.49663194444</v>
      </c>
      <c r="AA566" s="89">
        <v>45270.49663194444</v>
      </c>
      <c r="AB566" s="82"/>
      <c r="AC566" s="82"/>
      <c r="AD566" s="85" t="s">
        <v>2423</v>
      </c>
      <c r="AE566" s="84" t="str">
        <f>REPLACE(INDEX(GroupVertices[Group],MATCH("~"&amp;Edges[[#This Row],[Vertex 1]],GroupVertices[Vertex],0)),1,1,"")</f>
        <v>5</v>
      </c>
      <c r="AF566" s="84" t="str">
        <f>REPLACE(INDEX(GroupVertices[Group],MATCH("~"&amp;Edges[[#This Row],[Vertex 2]],GroupVertices[Vertex],0)),1,1,"")</f>
        <v>5</v>
      </c>
    </row>
    <row r="567" spans="1:32" ht="15">
      <c r="A567" s="66" t="s">
        <v>723</v>
      </c>
      <c r="B567" s="66" t="s">
        <v>906</v>
      </c>
      <c r="C567" s="67"/>
      <c r="D567" s="68"/>
      <c r="E567" s="69"/>
      <c r="F567" s="70"/>
      <c r="G567" s="67"/>
      <c r="H567" s="71"/>
      <c r="I567" s="72"/>
      <c r="J567" s="72"/>
      <c r="K567" s="35"/>
      <c r="L567" s="80">
        <v>567</v>
      </c>
      <c r="M567" s="80"/>
      <c r="N567" s="74"/>
      <c r="O567" s="82" t="s">
        <v>909</v>
      </c>
      <c r="P567" s="82" t="s">
        <v>197</v>
      </c>
      <c r="Q567" s="85" t="s">
        <v>1473</v>
      </c>
      <c r="R567" s="82" t="s">
        <v>723</v>
      </c>
      <c r="S567" s="82" t="s">
        <v>2189</v>
      </c>
      <c r="T567" s="87" t="str">
        <f>HYPERLINK("http://www.youtube.com/channel/UCk5FUiJD-N1Hyny_iJUPGIQ")</f>
        <v>http://www.youtube.com/channel/UCk5FUiJD-N1Hyny_iJUPGIQ</v>
      </c>
      <c r="U567" s="82"/>
      <c r="V567" s="82" t="s">
        <v>2374</v>
      </c>
      <c r="W567" s="87" t="str">
        <f t="shared" si="25"/>
        <v>https://www.youtube.com/watch?v=UVf2Yw7uFoE</v>
      </c>
      <c r="X567" s="82" t="s">
        <v>2384</v>
      </c>
      <c r="Y567" s="82">
        <v>0</v>
      </c>
      <c r="Z567" s="89">
        <v>45270.74760416667</v>
      </c>
      <c r="AA567" s="89">
        <v>45270.74760416667</v>
      </c>
      <c r="AB567" s="82"/>
      <c r="AC567" s="82"/>
      <c r="AD567" s="85" t="s">
        <v>2423</v>
      </c>
      <c r="AE567" s="84" t="str">
        <f>REPLACE(INDEX(GroupVertices[Group],MATCH("~"&amp;Edges[[#This Row],[Vertex 1]],GroupVertices[Vertex],0)),1,1,"")</f>
        <v>5</v>
      </c>
      <c r="AF567" s="84" t="str">
        <f>REPLACE(INDEX(GroupVertices[Group],MATCH("~"&amp;Edges[[#This Row],[Vertex 2]],GroupVertices[Vertex],0)),1,1,"")</f>
        <v>5</v>
      </c>
    </row>
    <row r="568" spans="1:32" ht="15">
      <c r="A568" s="66" t="s">
        <v>724</v>
      </c>
      <c r="B568" s="66" t="s">
        <v>906</v>
      </c>
      <c r="C568" s="67"/>
      <c r="D568" s="68"/>
      <c r="E568" s="69"/>
      <c r="F568" s="70"/>
      <c r="G568" s="67"/>
      <c r="H568" s="71"/>
      <c r="I568" s="72"/>
      <c r="J568" s="72"/>
      <c r="K568" s="35"/>
      <c r="L568" s="80">
        <v>568</v>
      </c>
      <c r="M568" s="80"/>
      <c r="N568" s="74"/>
      <c r="O568" s="82" t="s">
        <v>909</v>
      </c>
      <c r="P568" s="82" t="s">
        <v>197</v>
      </c>
      <c r="Q568" s="85" t="s">
        <v>1474</v>
      </c>
      <c r="R568" s="82" t="s">
        <v>724</v>
      </c>
      <c r="S568" s="82" t="s">
        <v>2190</v>
      </c>
      <c r="T568" s="87" t="str">
        <f>HYPERLINK("http://www.youtube.com/channel/UCDH7TcPrEmjYK9unjD4QdbA")</f>
        <v>http://www.youtube.com/channel/UCDH7TcPrEmjYK9unjD4QdbA</v>
      </c>
      <c r="U568" s="82"/>
      <c r="V568" s="82" t="s">
        <v>2374</v>
      </c>
      <c r="W568" s="87" t="str">
        <f t="shared" si="25"/>
        <v>https://www.youtube.com/watch?v=UVf2Yw7uFoE</v>
      </c>
      <c r="X568" s="82" t="s">
        <v>2384</v>
      </c>
      <c r="Y568" s="82">
        <v>0</v>
      </c>
      <c r="Z568" s="89">
        <v>45271.02060185185</v>
      </c>
      <c r="AA568" s="89">
        <v>45271.02060185185</v>
      </c>
      <c r="AB568" s="82"/>
      <c r="AC568" s="82"/>
      <c r="AD568" s="85" t="s">
        <v>2423</v>
      </c>
      <c r="AE568" s="84" t="str">
        <f>REPLACE(INDEX(GroupVertices[Group],MATCH("~"&amp;Edges[[#This Row],[Vertex 1]],GroupVertices[Vertex],0)),1,1,"")</f>
        <v>5</v>
      </c>
      <c r="AF568" s="84" t="str">
        <f>REPLACE(INDEX(GroupVertices[Group],MATCH("~"&amp;Edges[[#This Row],[Vertex 2]],GroupVertices[Vertex],0)),1,1,"")</f>
        <v>5</v>
      </c>
    </row>
    <row r="569" spans="1:32" ht="15">
      <c r="A569" s="66" t="s">
        <v>725</v>
      </c>
      <c r="B569" s="66" t="s">
        <v>906</v>
      </c>
      <c r="C569" s="67"/>
      <c r="D569" s="68"/>
      <c r="E569" s="69"/>
      <c r="F569" s="70"/>
      <c r="G569" s="67"/>
      <c r="H569" s="71"/>
      <c r="I569" s="72"/>
      <c r="J569" s="72"/>
      <c r="K569" s="35"/>
      <c r="L569" s="80">
        <v>569</v>
      </c>
      <c r="M569" s="80"/>
      <c r="N569" s="74"/>
      <c r="O569" s="82" t="s">
        <v>909</v>
      </c>
      <c r="P569" s="82" t="s">
        <v>197</v>
      </c>
      <c r="Q569" s="85" t="s">
        <v>1475</v>
      </c>
      <c r="R569" s="82" t="s">
        <v>725</v>
      </c>
      <c r="S569" s="82" t="s">
        <v>2191</v>
      </c>
      <c r="T569" s="87" t="str">
        <f>HYPERLINK("http://www.youtube.com/channel/UCBY5WVfKtItFgG2-UWb8Jhg")</f>
        <v>http://www.youtube.com/channel/UCBY5WVfKtItFgG2-UWb8Jhg</v>
      </c>
      <c r="U569" s="82"/>
      <c r="V569" s="82" t="s">
        <v>2374</v>
      </c>
      <c r="W569" s="87" t="str">
        <f t="shared" si="25"/>
        <v>https://www.youtube.com/watch?v=UVf2Yw7uFoE</v>
      </c>
      <c r="X569" s="82" t="s">
        <v>2384</v>
      </c>
      <c r="Y569" s="82">
        <v>0</v>
      </c>
      <c r="Z569" s="89">
        <v>45271.11928240741</v>
      </c>
      <c r="AA569" s="89">
        <v>45271.11928240741</v>
      </c>
      <c r="AB569" s="82"/>
      <c r="AC569" s="82"/>
      <c r="AD569" s="85" t="s">
        <v>2423</v>
      </c>
      <c r="AE569" s="84" t="str">
        <f>REPLACE(INDEX(GroupVertices[Group],MATCH("~"&amp;Edges[[#This Row],[Vertex 1]],GroupVertices[Vertex],0)),1,1,"")</f>
        <v>5</v>
      </c>
      <c r="AF569" s="84" t="str">
        <f>REPLACE(INDEX(GroupVertices[Group],MATCH("~"&amp;Edges[[#This Row],[Vertex 2]],GroupVertices[Vertex],0)),1,1,"")</f>
        <v>5</v>
      </c>
    </row>
    <row r="570" spans="1:32" ht="15">
      <c r="A570" s="66" t="s">
        <v>726</v>
      </c>
      <c r="B570" s="66" t="s">
        <v>906</v>
      </c>
      <c r="C570" s="67"/>
      <c r="D570" s="68"/>
      <c r="E570" s="69"/>
      <c r="F570" s="70"/>
      <c r="G570" s="67"/>
      <c r="H570" s="71"/>
      <c r="I570" s="72"/>
      <c r="J570" s="72"/>
      <c r="K570" s="35"/>
      <c r="L570" s="80">
        <v>570</v>
      </c>
      <c r="M570" s="80"/>
      <c r="N570" s="74"/>
      <c r="O570" s="82" t="s">
        <v>909</v>
      </c>
      <c r="P570" s="82" t="s">
        <v>197</v>
      </c>
      <c r="Q570" s="85" t="s">
        <v>1476</v>
      </c>
      <c r="R570" s="82" t="s">
        <v>726</v>
      </c>
      <c r="S570" s="82" t="s">
        <v>2192</v>
      </c>
      <c r="T570" s="87" t="str">
        <f>HYPERLINK("http://www.youtube.com/channel/UC9E-uwiaGa3-KsHStYA8Pmw")</f>
        <v>http://www.youtube.com/channel/UC9E-uwiaGa3-KsHStYA8Pmw</v>
      </c>
      <c r="U570" s="82"/>
      <c r="V570" s="82" t="s">
        <v>2374</v>
      </c>
      <c r="W570" s="87" t="str">
        <f t="shared" si="25"/>
        <v>https://www.youtube.com/watch?v=UVf2Yw7uFoE</v>
      </c>
      <c r="X570" s="82" t="s">
        <v>2384</v>
      </c>
      <c r="Y570" s="82">
        <v>0</v>
      </c>
      <c r="Z570" s="89">
        <v>45271.14099537037</v>
      </c>
      <c r="AA570" s="89">
        <v>45271.14099537037</v>
      </c>
      <c r="AB570" s="82"/>
      <c r="AC570" s="82"/>
      <c r="AD570" s="85" t="s">
        <v>2423</v>
      </c>
      <c r="AE570" s="84" t="str">
        <f>REPLACE(INDEX(GroupVertices[Group],MATCH("~"&amp;Edges[[#This Row],[Vertex 1]],GroupVertices[Vertex],0)),1,1,"")</f>
        <v>5</v>
      </c>
      <c r="AF570" s="84" t="str">
        <f>REPLACE(INDEX(GroupVertices[Group],MATCH("~"&amp;Edges[[#This Row],[Vertex 2]],GroupVertices[Vertex],0)),1,1,"")</f>
        <v>5</v>
      </c>
    </row>
    <row r="571" spans="1:32" ht="15">
      <c r="A571" s="66" t="s">
        <v>726</v>
      </c>
      <c r="B571" s="66" t="s">
        <v>906</v>
      </c>
      <c r="C571" s="67"/>
      <c r="D571" s="68"/>
      <c r="E571" s="69"/>
      <c r="F571" s="70"/>
      <c r="G571" s="67"/>
      <c r="H571" s="71"/>
      <c r="I571" s="72"/>
      <c r="J571" s="72"/>
      <c r="K571" s="35"/>
      <c r="L571" s="80">
        <v>571</v>
      </c>
      <c r="M571" s="80"/>
      <c r="N571" s="74"/>
      <c r="O571" s="82" t="s">
        <v>909</v>
      </c>
      <c r="P571" s="82" t="s">
        <v>197</v>
      </c>
      <c r="Q571" s="85" t="s">
        <v>1477</v>
      </c>
      <c r="R571" s="82" t="s">
        <v>726</v>
      </c>
      <c r="S571" s="82" t="s">
        <v>2192</v>
      </c>
      <c r="T571" s="87" t="str">
        <f>HYPERLINK("http://www.youtube.com/channel/UC9E-uwiaGa3-KsHStYA8Pmw")</f>
        <v>http://www.youtube.com/channel/UC9E-uwiaGa3-KsHStYA8Pmw</v>
      </c>
      <c r="U571" s="82"/>
      <c r="V571" s="82" t="s">
        <v>2374</v>
      </c>
      <c r="W571" s="87" t="str">
        <f t="shared" si="25"/>
        <v>https://www.youtube.com/watch?v=UVf2Yw7uFoE</v>
      </c>
      <c r="X571" s="82" t="s">
        <v>2384</v>
      </c>
      <c r="Y571" s="82">
        <v>0</v>
      </c>
      <c r="Z571" s="89">
        <v>45271.14674768518</v>
      </c>
      <c r="AA571" s="89">
        <v>45271.14674768518</v>
      </c>
      <c r="AB571" s="82"/>
      <c r="AC571" s="82"/>
      <c r="AD571" s="85" t="s">
        <v>2423</v>
      </c>
      <c r="AE571" s="84" t="str">
        <f>REPLACE(INDEX(GroupVertices[Group],MATCH("~"&amp;Edges[[#This Row],[Vertex 1]],GroupVertices[Vertex],0)),1,1,"")</f>
        <v>5</v>
      </c>
      <c r="AF571" s="84" t="str">
        <f>REPLACE(INDEX(GroupVertices[Group],MATCH("~"&amp;Edges[[#This Row],[Vertex 2]],GroupVertices[Vertex],0)),1,1,"")</f>
        <v>5</v>
      </c>
    </row>
    <row r="572" spans="1:32" ht="15">
      <c r="A572" s="66" t="s">
        <v>727</v>
      </c>
      <c r="B572" s="66" t="s">
        <v>906</v>
      </c>
      <c r="C572" s="67"/>
      <c r="D572" s="68"/>
      <c r="E572" s="69"/>
      <c r="F572" s="70"/>
      <c r="G572" s="67"/>
      <c r="H572" s="71"/>
      <c r="I572" s="72"/>
      <c r="J572" s="72"/>
      <c r="K572" s="35"/>
      <c r="L572" s="80">
        <v>572</v>
      </c>
      <c r="M572" s="80"/>
      <c r="N572" s="74"/>
      <c r="O572" s="82" t="s">
        <v>909</v>
      </c>
      <c r="P572" s="82" t="s">
        <v>197</v>
      </c>
      <c r="Q572" s="85" t="s">
        <v>1478</v>
      </c>
      <c r="R572" s="82" t="s">
        <v>727</v>
      </c>
      <c r="S572" s="82" t="s">
        <v>2193</v>
      </c>
      <c r="T572" s="87" t="str">
        <f>HYPERLINK("http://www.youtube.com/channel/UCAJLpKza1VTPXFaUm-iCpdw")</f>
        <v>http://www.youtube.com/channel/UCAJLpKza1VTPXFaUm-iCpdw</v>
      </c>
      <c r="U572" s="82"/>
      <c r="V572" s="82" t="s">
        <v>2374</v>
      </c>
      <c r="W572" s="87" t="str">
        <f t="shared" si="25"/>
        <v>https://www.youtube.com/watch?v=UVf2Yw7uFoE</v>
      </c>
      <c r="X572" s="82" t="s">
        <v>2384</v>
      </c>
      <c r="Y572" s="82">
        <v>0</v>
      </c>
      <c r="Z572" s="89">
        <v>45271.2503125</v>
      </c>
      <c r="AA572" s="89">
        <v>45271.2503125</v>
      </c>
      <c r="AB572" s="82"/>
      <c r="AC572" s="82"/>
      <c r="AD572" s="85" t="s">
        <v>2423</v>
      </c>
      <c r="AE572" s="84" t="str">
        <f>REPLACE(INDEX(GroupVertices[Group],MATCH("~"&amp;Edges[[#This Row],[Vertex 1]],GroupVertices[Vertex],0)),1,1,"")</f>
        <v>5</v>
      </c>
      <c r="AF572" s="84" t="str">
        <f>REPLACE(INDEX(GroupVertices[Group],MATCH("~"&amp;Edges[[#This Row],[Vertex 2]],GroupVertices[Vertex],0)),1,1,"")</f>
        <v>5</v>
      </c>
    </row>
    <row r="573" spans="1:32" ht="15">
      <c r="A573" s="66" t="s">
        <v>728</v>
      </c>
      <c r="B573" s="66" t="s">
        <v>906</v>
      </c>
      <c r="C573" s="67"/>
      <c r="D573" s="68"/>
      <c r="E573" s="69"/>
      <c r="F573" s="70"/>
      <c r="G573" s="67"/>
      <c r="H573" s="71"/>
      <c r="I573" s="72"/>
      <c r="J573" s="72"/>
      <c r="K573" s="35"/>
      <c r="L573" s="80">
        <v>573</v>
      </c>
      <c r="M573" s="80"/>
      <c r="N573" s="74"/>
      <c r="O573" s="82" t="s">
        <v>909</v>
      </c>
      <c r="P573" s="82" t="s">
        <v>197</v>
      </c>
      <c r="Q573" s="85" t="s">
        <v>1479</v>
      </c>
      <c r="R573" s="82" t="s">
        <v>728</v>
      </c>
      <c r="S573" s="82" t="s">
        <v>2194</v>
      </c>
      <c r="T573" s="87" t="str">
        <f>HYPERLINK("http://www.youtube.com/channel/UCk9Hj10WYSls4--v3MSDE7A")</f>
        <v>http://www.youtube.com/channel/UCk9Hj10WYSls4--v3MSDE7A</v>
      </c>
      <c r="U573" s="82"/>
      <c r="V573" s="82" t="s">
        <v>2374</v>
      </c>
      <c r="W573" s="87" t="str">
        <f t="shared" si="25"/>
        <v>https://www.youtube.com/watch?v=UVf2Yw7uFoE</v>
      </c>
      <c r="X573" s="82" t="s">
        <v>2384</v>
      </c>
      <c r="Y573" s="82">
        <v>0</v>
      </c>
      <c r="Z573" s="89">
        <v>45271.26451388889</v>
      </c>
      <c r="AA573" s="89">
        <v>45271.26451388889</v>
      </c>
      <c r="AB573" s="82"/>
      <c r="AC573" s="82"/>
      <c r="AD573" s="85" t="s">
        <v>2423</v>
      </c>
      <c r="AE573" s="84" t="str">
        <f>REPLACE(INDEX(GroupVertices[Group],MATCH("~"&amp;Edges[[#This Row],[Vertex 1]],GroupVertices[Vertex],0)),1,1,"")</f>
        <v>5</v>
      </c>
      <c r="AF573" s="84" t="str">
        <f>REPLACE(INDEX(GroupVertices[Group],MATCH("~"&amp;Edges[[#This Row],[Vertex 2]],GroupVertices[Vertex],0)),1,1,"")</f>
        <v>5</v>
      </c>
    </row>
    <row r="574" spans="1:32" ht="15">
      <c r="A574" s="66" t="s">
        <v>729</v>
      </c>
      <c r="B574" s="66" t="s">
        <v>906</v>
      </c>
      <c r="C574" s="67"/>
      <c r="D574" s="68"/>
      <c r="E574" s="69"/>
      <c r="F574" s="70"/>
      <c r="G574" s="67"/>
      <c r="H574" s="71"/>
      <c r="I574" s="72"/>
      <c r="J574" s="72"/>
      <c r="K574" s="35"/>
      <c r="L574" s="80">
        <v>574</v>
      </c>
      <c r="M574" s="80"/>
      <c r="N574" s="74"/>
      <c r="O574" s="82" t="s">
        <v>909</v>
      </c>
      <c r="P574" s="82" t="s">
        <v>197</v>
      </c>
      <c r="Q574" s="85" t="s">
        <v>1480</v>
      </c>
      <c r="R574" s="82" t="s">
        <v>729</v>
      </c>
      <c r="S574" s="82" t="s">
        <v>2195</v>
      </c>
      <c r="T574" s="87" t="str">
        <f>HYPERLINK("http://www.youtube.com/channel/UCt6aOvDjJxVkJF9DFC-HdZQ")</f>
        <v>http://www.youtube.com/channel/UCt6aOvDjJxVkJF9DFC-HdZQ</v>
      </c>
      <c r="U574" s="82"/>
      <c r="V574" s="82" t="s">
        <v>2374</v>
      </c>
      <c r="W574" s="87" t="str">
        <f t="shared" si="25"/>
        <v>https://www.youtube.com/watch?v=UVf2Yw7uFoE</v>
      </c>
      <c r="X574" s="82" t="s">
        <v>2384</v>
      </c>
      <c r="Y574" s="82">
        <v>0</v>
      </c>
      <c r="Z574" s="89">
        <v>45271.300833333335</v>
      </c>
      <c r="AA574" s="89">
        <v>45271.300833333335</v>
      </c>
      <c r="AB574" s="82" t="s">
        <v>2408</v>
      </c>
      <c r="AC574" s="82" t="s">
        <v>2414</v>
      </c>
      <c r="AD574" s="85" t="s">
        <v>2423</v>
      </c>
      <c r="AE574" s="84" t="str">
        <f>REPLACE(INDEX(GroupVertices[Group],MATCH("~"&amp;Edges[[#This Row],[Vertex 1]],GroupVertices[Vertex],0)),1,1,"")</f>
        <v>5</v>
      </c>
      <c r="AF574" s="84" t="str">
        <f>REPLACE(INDEX(GroupVertices[Group],MATCH("~"&amp;Edges[[#This Row],[Vertex 2]],GroupVertices[Vertex],0)),1,1,"")</f>
        <v>5</v>
      </c>
    </row>
    <row r="575" spans="1:32" ht="15">
      <c r="A575" s="66" t="s">
        <v>730</v>
      </c>
      <c r="B575" s="66" t="s">
        <v>906</v>
      </c>
      <c r="C575" s="67"/>
      <c r="D575" s="68"/>
      <c r="E575" s="69"/>
      <c r="F575" s="70"/>
      <c r="G575" s="67"/>
      <c r="H575" s="71"/>
      <c r="I575" s="72"/>
      <c r="J575" s="72"/>
      <c r="K575" s="35"/>
      <c r="L575" s="80">
        <v>575</v>
      </c>
      <c r="M575" s="80"/>
      <c r="N575" s="74"/>
      <c r="O575" s="82" t="s">
        <v>909</v>
      </c>
      <c r="P575" s="82" t="s">
        <v>197</v>
      </c>
      <c r="Q575" s="85" t="s">
        <v>1481</v>
      </c>
      <c r="R575" s="82" t="s">
        <v>730</v>
      </c>
      <c r="S575" s="82" t="s">
        <v>2196</v>
      </c>
      <c r="T575" s="87" t="str">
        <f>HYPERLINK("http://www.youtube.com/channel/UCmKMJPCMnwJLiG_Zq8B-yKw")</f>
        <v>http://www.youtube.com/channel/UCmKMJPCMnwJLiG_Zq8B-yKw</v>
      </c>
      <c r="U575" s="82"/>
      <c r="V575" s="82" t="s">
        <v>2374</v>
      </c>
      <c r="W575" s="87" t="str">
        <f t="shared" si="25"/>
        <v>https://www.youtube.com/watch?v=UVf2Yw7uFoE</v>
      </c>
      <c r="X575" s="82" t="s">
        <v>2384</v>
      </c>
      <c r="Y575" s="82">
        <v>0</v>
      </c>
      <c r="Z575" s="89">
        <v>45271.30719907407</v>
      </c>
      <c r="AA575" s="89">
        <v>45271.30719907407</v>
      </c>
      <c r="AB575" s="82"/>
      <c r="AC575" s="82"/>
      <c r="AD575" s="85" t="s">
        <v>2423</v>
      </c>
      <c r="AE575" s="84" t="str">
        <f>REPLACE(INDEX(GroupVertices[Group],MATCH("~"&amp;Edges[[#This Row],[Vertex 1]],GroupVertices[Vertex],0)),1,1,"")</f>
        <v>5</v>
      </c>
      <c r="AF575" s="84" t="str">
        <f>REPLACE(INDEX(GroupVertices[Group],MATCH("~"&amp;Edges[[#This Row],[Vertex 2]],GroupVertices[Vertex],0)),1,1,"")</f>
        <v>5</v>
      </c>
    </row>
    <row r="576" spans="1:32" ht="15">
      <c r="A576" s="66" t="s">
        <v>731</v>
      </c>
      <c r="B576" s="66" t="s">
        <v>906</v>
      </c>
      <c r="C576" s="67"/>
      <c r="D576" s="68"/>
      <c r="E576" s="69"/>
      <c r="F576" s="70"/>
      <c r="G576" s="67"/>
      <c r="H576" s="71"/>
      <c r="I576" s="72"/>
      <c r="J576" s="72"/>
      <c r="K576" s="35"/>
      <c r="L576" s="80">
        <v>576</v>
      </c>
      <c r="M576" s="80"/>
      <c r="N576" s="74"/>
      <c r="O576" s="82" t="s">
        <v>909</v>
      </c>
      <c r="P576" s="82" t="s">
        <v>197</v>
      </c>
      <c r="Q576" s="85" t="s">
        <v>1482</v>
      </c>
      <c r="R576" s="82" t="s">
        <v>731</v>
      </c>
      <c r="S576" s="82" t="s">
        <v>2197</v>
      </c>
      <c r="T576" s="87" t="str">
        <f>HYPERLINK("http://www.youtube.com/channel/UCGzueH5RuohK3Icv_COo7gg")</f>
        <v>http://www.youtube.com/channel/UCGzueH5RuohK3Icv_COo7gg</v>
      </c>
      <c r="U576" s="82"/>
      <c r="V576" s="82" t="s">
        <v>2374</v>
      </c>
      <c r="W576" s="87" t="str">
        <f t="shared" si="25"/>
        <v>https://www.youtube.com/watch?v=UVf2Yw7uFoE</v>
      </c>
      <c r="X576" s="82" t="s">
        <v>2384</v>
      </c>
      <c r="Y576" s="82">
        <v>0</v>
      </c>
      <c r="Z576" s="89">
        <v>45271.49118055555</v>
      </c>
      <c r="AA576" s="89">
        <v>45271.49118055555</v>
      </c>
      <c r="AB576" s="82"/>
      <c r="AC576" s="82"/>
      <c r="AD576" s="85" t="s">
        <v>2423</v>
      </c>
      <c r="AE576" s="84" t="str">
        <f>REPLACE(INDEX(GroupVertices[Group],MATCH("~"&amp;Edges[[#This Row],[Vertex 1]],GroupVertices[Vertex],0)),1,1,"")</f>
        <v>5</v>
      </c>
      <c r="AF576" s="84" t="str">
        <f>REPLACE(INDEX(GroupVertices[Group],MATCH("~"&amp;Edges[[#This Row],[Vertex 2]],GroupVertices[Vertex],0)),1,1,"")</f>
        <v>5</v>
      </c>
    </row>
    <row r="577" spans="1:32" ht="15">
      <c r="A577" s="66" t="s">
        <v>732</v>
      </c>
      <c r="B577" s="66" t="s">
        <v>906</v>
      </c>
      <c r="C577" s="67"/>
      <c r="D577" s="68"/>
      <c r="E577" s="69"/>
      <c r="F577" s="70"/>
      <c r="G577" s="67"/>
      <c r="H577" s="71"/>
      <c r="I577" s="72"/>
      <c r="J577" s="72"/>
      <c r="K577" s="35"/>
      <c r="L577" s="80">
        <v>577</v>
      </c>
      <c r="M577" s="80"/>
      <c r="N577" s="74"/>
      <c r="O577" s="82" t="s">
        <v>909</v>
      </c>
      <c r="P577" s="82" t="s">
        <v>197</v>
      </c>
      <c r="Q577" s="85" t="s">
        <v>1483</v>
      </c>
      <c r="R577" s="82" t="s">
        <v>732</v>
      </c>
      <c r="S577" s="82" t="s">
        <v>2198</v>
      </c>
      <c r="T577" s="87" t="str">
        <f>HYPERLINK("http://www.youtube.com/channel/UCQf-kWfY0y1mkSC9KPgsrKA")</f>
        <v>http://www.youtube.com/channel/UCQf-kWfY0y1mkSC9KPgsrKA</v>
      </c>
      <c r="U577" s="82"/>
      <c r="V577" s="82" t="s">
        <v>2374</v>
      </c>
      <c r="W577" s="87" t="str">
        <f t="shared" si="25"/>
        <v>https://www.youtube.com/watch?v=UVf2Yw7uFoE</v>
      </c>
      <c r="X577" s="82" t="s">
        <v>2384</v>
      </c>
      <c r="Y577" s="82">
        <v>0</v>
      </c>
      <c r="Z577" s="89">
        <v>45271.51755787037</v>
      </c>
      <c r="AA577" s="89">
        <v>45271.51755787037</v>
      </c>
      <c r="AB577" s="82"/>
      <c r="AC577" s="82"/>
      <c r="AD577" s="85" t="s">
        <v>2423</v>
      </c>
      <c r="AE577" s="84" t="str">
        <f>REPLACE(INDEX(GroupVertices[Group],MATCH("~"&amp;Edges[[#This Row],[Vertex 1]],GroupVertices[Vertex],0)),1,1,"")</f>
        <v>5</v>
      </c>
      <c r="AF577" s="84" t="str">
        <f>REPLACE(INDEX(GroupVertices[Group],MATCH("~"&amp;Edges[[#This Row],[Vertex 2]],GroupVertices[Vertex],0)),1,1,"")</f>
        <v>5</v>
      </c>
    </row>
    <row r="578" spans="1:32" ht="15">
      <c r="A578" s="66" t="s">
        <v>733</v>
      </c>
      <c r="B578" s="66" t="s">
        <v>906</v>
      </c>
      <c r="C578" s="67"/>
      <c r="D578" s="68"/>
      <c r="E578" s="69"/>
      <c r="F578" s="70"/>
      <c r="G578" s="67"/>
      <c r="H578" s="71"/>
      <c r="I578" s="72"/>
      <c r="J578" s="72"/>
      <c r="K578" s="35"/>
      <c r="L578" s="80">
        <v>578</v>
      </c>
      <c r="M578" s="80"/>
      <c r="N578" s="74"/>
      <c r="O578" s="82" t="s">
        <v>909</v>
      </c>
      <c r="P578" s="82" t="s">
        <v>197</v>
      </c>
      <c r="Q578" s="85" t="s">
        <v>1484</v>
      </c>
      <c r="R578" s="82" t="s">
        <v>733</v>
      </c>
      <c r="S578" s="82" t="s">
        <v>2199</v>
      </c>
      <c r="T578" s="87" t="str">
        <f>HYPERLINK("http://www.youtube.com/channel/UC2_IIQEUsvFej9-jPMqyl1A")</f>
        <v>http://www.youtube.com/channel/UC2_IIQEUsvFej9-jPMqyl1A</v>
      </c>
      <c r="U578" s="82"/>
      <c r="V578" s="82" t="s">
        <v>2374</v>
      </c>
      <c r="W578" s="87" t="str">
        <f t="shared" si="25"/>
        <v>https://www.youtube.com/watch?v=UVf2Yw7uFoE</v>
      </c>
      <c r="X578" s="82" t="s">
        <v>2384</v>
      </c>
      <c r="Y578" s="82">
        <v>0</v>
      </c>
      <c r="Z578" s="89">
        <v>45271.54332175926</v>
      </c>
      <c r="AA578" s="89">
        <v>45271.54332175926</v>
      </c>
      <c r="AB578" s="82"/>
      <c r="AC578" s="82"/>
      <c r="AD578" s="85" t="s">
        <v>2423</v>
      </c>
      <c r="AE578" s="84" t="str">
        <f>REPLACE(INDEX(GroupVertices[Group],MATCH("~"&amp;Edges[[#This Row],[Vertex 1]],GroupVertices[Vertex],0)),1,1,"")</f>
        <v>5</v>
      </c>
      <c r="AF578" s="84" t="str">
        <f>REPLACE(INDEX(GroupVertices[Group],MATCH("~"&amp;Edges[[#This Row],[Vertex 2]],GroupVertices[Vertex],0)),1,1,"")</f>
        <v>5</v>
      </c>
    </row>
    <row r="579" spans="1:32" ht="15">
      <c r="A579" s="66" t="s">
        <v>734</v>
      </c>
      <c r="B579" s="66" t="s">
        <v>906</v>
      </c>
      <c r="C579" s="67"/>
      <c r="D579" s="68"/>
      <c r="E579" s="69"/>
      <c r="F579" s="70"/>
      <c r="G579" s="67"/>
      <c r="H579" s="71"/>
      <c r="I579" s="72"/>
      <c r="J579" s="72"/>
      <c r="K579" s="35"/>
      <c r="L579" s="80">
        <v>579</v>
      </c>
      <c r="M579" s="80"/>
      <c r="N579" s="74"/>
      <c r="O579" s="82" t="s">
        <v>909</v>
      </c>
      <c r="P579" s="82" t="s">
        <v>197</v>
      </c>
      <c r="Q579" s="85" t="s">
        <v>1485</v>
      </c>
      <c r="R579" s="82" t="s">
        <v>734</v>
      </c>
      <c r="S579" s="82" t="s">
        <v>2200</v>
      </c>
      <c r="T579" s="87" t="str">
        <f>HYPERLINK("http://www.youtube.com/channel/UCgBIsXAjzj5XYflu9qu9OGg")</f>
        <v>http://www.youtube.com/channel/UCgBIsXAjzj5XYflu9qu9OGg</v>
      </c>
      <c r="U579" s="82"/>
      <c r="V579" s="82" t="s">
        <v>2374</v>
      </c>
      <c r="W579" s="87" t="str">
        <f t="shared" si="25"/>
        <v>https://www.youtube.com/watch?v=UVf2Yw7uFoE</v>
      </c>
      <c r="X579" s="82" t="s">
        <v>2384</v>
      </c>
      <c r="Y579" s="82">
        <v>0</v>
      </c>
      <c r="Z579" s="89">
        <v>45271.5981712963</v>
      </c>
      <c r="AA579" s="89">
        <v>45271.5981712963</v>
      </c>
      <c r="AB579" s="82"/>
      <c r="AC579" s="82"/>
      <c r="AD579" s="85" t="s">
        <v>2423</v>
      </c>
      <c r="AE579" s="84" t="str">
        <f>REPLACE(INDEX(GroupVertices[Group],MATCH("~"&amp;Edges[[#This Row],[Vertex 1]],GroupVertices[Vertex],0)),1,1,"")</f>
        <v>5</v>
      </c>
      <c r="AF579" s="84" t="str">
        <f>REPLACE(INDEX(GroupVertices[Group],MATCH("~"&amp;Edges[[#This Row],[Vertex 2]],GroupVertices[Vertex],0)),1,1,"")</f>
        <v>5</v>
      </c>
    </row>
    <row r="580" spans="1:32" ht="15">
      <c r="A580" s="66" t="s">
        <v>735</v>
      </c>
      <c r="B580" s="66" t="s">
        <v>906</v>
      </c>
      <c r="C580" s="67"/>
      <c r="D580" s="68"/>
      <c r="E580" s="69"/>
      <c r="F580" s="70"/>
      <c r="G580" s="67"/>
      <c r="H580" s="71"/>
      <c r="I580" s="72"/>
      <c r="J580" s="72"/>
      <c r="K580" s="35"/>
      <c r="L580" s="80">
        <v>580</v>
      </c>
      <c r="M580" s="80"/>
      <c r="N580" s="74"/>
      <c r="O580" s="82" t="s">
        <v>909</v>
      </c>
      <c r="P580" s="82" t="s">
        <v>197</v>
      </c>
      <c r="Q580" s="85" t="s">
        <v>1486</v>
      </c>
      <c r="R580" s="82" t="s">
        <v>735</v>
      </c>
      <c r="S580" s="82" t="s">
        <v>2201</v>
      </c>
      <c r="T580" s="87" t="str">
        <f>HYPERLINK("http://www.youtube.com/channel/UCFTAJaYrEx-iR8IlKv-vXfA")</f>
        <v>http://www.youtube.com/channel/UCFTAJaYrEx-iR8IlKv-vXfA</v>
      </c>
      <c r="U580" s="82"/>
      <c r="V580" s="82" t="s">
        <v>2374</v>
      </c>
      <c r="W580" s="87" t="str">
        <f t="shared" si="25"/>
        <v>https://www.youtube.com/watch?v=UVf2Yw7uFoE</v>
      </c>
      <c r="X580" s="82" t="s">
        <v>2384</v>
      </c>
      <c r="Y580" s="82">
        <v>0</v>
      </c>
      <c r="Z580" s="89">
        <v>45271.71797453704</v>
      </c>
      <c r="AA580" s="89">
        <v>45271.71797453704</v>
      </c>
      <c r="AB580" s="82"/>
      <c r="AC580" s="82"/>
      <c r="AD580" s="85" t="s">
        <v>2423</v>
      </c>
      <c r="AE580" s="84" t="str">
        <f>REPLACE(INDEX(GroupVertices[Group],MATCH("~"&amp;Edges[[#This Row],[Vertex 1]],GroupVertices[Vertex],0)),1,1,"")</f>
        <v>5</v>
      </c>
      <c r="AF580" s="84" t="str">
        <f>REPLACE(INDEX(GroupVertices[Group],MATCH("~"&amp;Edges[[#This Row],[Vertex 2]],GroupVertices[Vertex],0)),1,1,"")</f>
        <v>5</v>
      </c>
    </row>
    <row r="581" spans="1:32" ht="15">
      <c r="A581" s="66" t="s">
        <v>736</v>
      </c>
      <c r="B581" s="66" t="s">
        <v>906</v>
      </c>
      <c r="C581" s="67"/>
      <c r="D581" s="68"/>
      <c r="E581" s="69"/>
      <c r="F581" s="70"/>
      <c r="G581" s="67"/>
      <c r="H581" s="71"/>
      <c r="I581" s="72"/>
      <c r="J581" s="72"/>
      <c r="K581" s="35"/>
      <c r="L581" s="80">
        <v>581</v>
      </c>
      <c r="M581" s="80"/>
      <c r="N581" s="74"/>
      <c r="O581" s="82" t="s">
        <v>909</v>
      </c>
      <c r="P581" s="82" t="s">
        <v>197</v>
      </c>
      <c r="Q581" s="85" t="s">
        <v>1487</v>
      </c>
      <c r="R581" s="82" t="s">
        <v>736</v>
      </c>
      <c r="S581" s="82" t="s">
        <v>2202</v>
      </c>
      <c r="T581" s="87" t="str">
        <f>HYPERLINK("http://www.youtube.com/channel/UCgDkdV9-DJ5PBczCow26nCw")</f>
        <v>http://www.youtube.com/channel/UCgDkdV9-DJ5PBczCow26nCw</v>
      </c>
      <c r="U581" s="82"/>
      <c r="V581" s="82" t="s">
        <v>2374</v>
      </c>
      <c r="W581" s="87" t="str">
        <f t="shared" si="25"/>
        <v>https://www.youtube.com/watch?v=UVf2Yw7uFoE</v>
      </c>
      <c r="X581" s="82" t="s">
        <v>2384</v>
      </c>
      <c r="Y581" s="82">
        <v>0</v>
      </c>
      <c r="Z581" s="89">
        <v>45271.87571759259</v>
      </c>
      <c r="AA581" s="89">
        <v>45271.87571759259</v>
      </c>
      <c r="AB581" s="82"/>
      <c r="AC581" s="82"/>
      <c r="AD581" s="85" t="s">
        <v>2423</v>
      </c>
      <c r="AE581" s="84" t="str">
        <f>REPLACE(INDEX(GroupVertices[Group],MATCH("~"&amp;Edges[[#This Row],[Vertex 1]],GroupVertices[Vertex],0)),1,1,"")</f>
        <v>5</v>
      </c>
      <c r="AF581" s="84" t="str">
        <f>REPLACE(INDEX(GroupVertices[Group],MATCH("~"&amp;Edges[[#This Row],[Vertex 2]],GroupVertices[Vertex],0)),1,1,"")</f>
        <v>5</v>
      </c>
    </row>
    <row r="582" spans="1:32" ht="15">
      <c r="A582" s="66" t="s">
        <v>737</v>
      </c>
      <c r="B582" s="66" t="s">
        <v>906</v>
      </c>
      <c r="C582" s="67"/>
      <c r="D582" s="68"/>
      <c r="E582" s="69"/>
      <c r="F582" s="70"/>
      <c r="G582" s="67"/>
      <c r="H582" s="71"/>
      <c r="I582" s="72"/>
      <c r="J582" s="72"/>
      <c r="K582" s="35"/>
      <c r="L582" s="80">
        <v>582</v>
      </c>
      <c r="M582" s="80"/>
      <c r="N582" s="74"/>
      <c r="O582" s="82" t="s">
        <v>909</v>
      </c>
      <c r="P582" s="82" t="s">
        <v>197</v>
      </c>
      <c r="Q582" s="85" t="s">
        <v>1488</v>
      </c>
      <c r="R582" s="82" t="s">
        <v>737</v>
      </c>
      <c r="S582" s="82" t="s">
        <v>2203</v>
      </c>
      <c r="T582" s="87" t="str">
        <f>HYPERLINK("http://www.youtube.com/channel/UC_4Sj3C57bF5Rg74c--fV4Q")</f>
        <v>http://www.youtube.com/channel/UC_4Sj3C57bF5Rg74c--fV4Q</v>
      </c>
      <c r="U582" s="82"/>
      <c r="V582" s="82" t="s">
        <v>2374</v>
      </c>
      <c r="W582" s="87" t="str">
        <f t="shared" si="25"/>
        <v>https://www.youtube.com/watch?v=UVf2Yw7uFoE</v>
      </c>
      <c r="X582" s="82" t="s">
        <v>2384</v>
      </c>
      <c r="Y582" s="82">
        <v>0</v>
      </c>
      <c r="Z582" s="89">
        <v>45271.915671296294</v>
      </c>
      <c r="AA582" s="89">
        <v>45271.915671296294</v>
      </c>
      <c r="AB582" s="82"/>
      <c r="AC582" s="82"/>
      <c r="AD582" s="85" t="s">
        <v>2423</v>
      </c>
      <c r="AE582" s="84" t="str">
        <f>REPLACE(INDEX(GroupVertices[Group],MATCH("~"&amp;Edges[[#This Row],[Vertex 1]],GroupVertices[Vertex],0)),1,1,"")</f>
        <v>5</v>
      </c>
      <c r="AF582" s="84" t="str">
        <f>REPLACE(INDEX(GroupVertices[Group],MATCH("~"&amp;Edges[[#This Row],[Vertex 2]],GroupVertices[Vertex],0)),1,1,"")</f>
        <v>5</v>
      </c>
    </row>
    <row r="583" spans="1:32" ht="15">
      <c r="A583" s="66" t="s">
        <v>737</v>
      </c>
      <c r="B583" s="66" t="s">
        <v>906</v>
      </c>
      <c r="C583" s="67"/>
      <c r="D583" s="68"/>
      <c r="E583" s="69"/>
      <c r="F583" s="70"/>
      <c r="G583" s="67"/>
      <c r="H583" s="71"/>
      <c r="I583" s="72"/>
      <c r="J583" s="72"/>
      <c r="K583" s="35"/>
      <c r="L583" s="80">
        <v>583</v>
      </c>
      <c r="M583" s="80"/>
      <c r="N583" s="74"/>
      <c r="O583" s="82" t="s">
        <v>909</v>
      </c>
      <c r="P583" s="82" t="s">
        <v>197</v>
      </c>
      <c r="Q583" s="85" t="s">
        <v>1489</v>
      </c>
      <c r="R583" s="82" t="s">
        <v>737</v>
      </c>
      <c r="S583" s="82" t="s">
        <v>2203</v>
      </c>
      <c r="T583" s="87" t="str">
        <f>HYPERLINK("http://www.youtube.com/channel/UC_4Sj3C57bF5Rg74c--fV4Q")</f>
        <v>http://www.youtube.com/channel/UC_4Sj3C57bF5Rg74c--fV4Q</v>
      </c>
      <c r="U583" s="82"/>
      <c r="V583" s="82" t="s">
        <v>2374</v>
      </c>
      <c r="W583" s="87" t="str">
        <f t="shared" si="25"/>
        <v>https://www.youtube.com/watch?v=UVf2Yw7uFoE</v>
      </c>
      <c r="X583" s="82" t="s">
        <v>2384</v>
      </c>
      <c r="Y583" s="82">
        <v>0</v>
      </c>
      <c r="Z583" s="89">
        <v>45271.932592592595</v>
      </c>
      <c r="AA583" s="89">
        <v>45271.932592592595</v>
      </c>
      <c r="AB583" s="82"/>
      <c r="AC583" s="82"/>
      <c r="AD583" s="85" t="s">
        <v>2423</v>
      </c>
      <c r="AE583" s="84" t="str">
        <f>REPLACE(INDEX(GroupVertices[Group],MATCH("~"&amp;Edges[[#This Row],[Vertex 1]],GroupVertices[Vertex],0)),1,1,"")</f>
        <v>5</v>
      </c>
      <c r="AF583" s="84" t="str">
        <f>REPLACE(INDEX(GroupVertices[Group],MATCH("~"&amp;Edges[[#This Row],[Vertex 2]],GroupVertices[Vertex],0)),1,1,"")</f>
        <v>5</v>
      </c>
    </row>
    <row r="584" spans="1:32" ht="15">
      <c r="A584" s="66" t="s">
        <v>738</v>
      </c>
      <c r="B584" s="66" t="s">
        <v>906</v>
      </c>
      <c r="C584" s="67"/>
      <c r="D584" s="68"/>
      <c r="E584" s="69"/>
      <c r="F584" s="70"/>
      <c r="G584" s="67"/>
      <c r="H584" s="71"/>
      <c r="I584" s="72"/>
      <c r="J584" s="72"/>
      <c r="K584" s="35"/>
      <c r="L584" s="80">
        <v>584</v>
      </c>
      <c r="M584" s="80"/>
      <c r="N584" s="74"/>
      <c r="O584" s="82" t="s">
        <v>909</v>
      </c>
      <c r="P584" s="82" t="s">
        <v>197</v>
      </c>
      <c r="Q584" s="85" t="s">
        <v>1490</v>
      </c>
      <c r="R584" s="82" t="s">
        <v>738</v>
      </c>
      <c r="S584" s="82" t="s">
        <v>2204</v>
      </c>
      <c r="T584" s="87" t="str">
        <f>HYPERLINK("http://www.youtube.com/channel/UCuZIvh2yMLyHB1qYauNoLLw")</f>
        <v>http://www.youtube.com/channel/UCuZIvh2yMLyHB1qYauNoLLw</v>
      </c>
      <c r="U584" s="82"/>
      <c r="V584" s="82" t="s">
        <v>2374</v>
      </c>
      <c r="W584" s="87" t="str">
        <f t="shared" si="25"/>
        <v>https://www.youtube.com/watch?v=UVf2Yw7uFoE</v>
      </c>
      <c r="X584" s="82" t="s">
        <v>2384</v>
      </c>
      <c r="Y584" s="82">
        <v>0</v>
      </c>
      <c r="Z584" s="89">
        <v>45272.276770833334</v>
      </c>
      <c r="AA584" s="89">
        <v>45272.276770833334</v>
      </c>
      <c r="AB584" s="82"/>
      <c r="AC584" s="82"/>
      <c r="AD584" s="85" t="s">
        <v>2423</v>
      </c>
      <c r="AE584" s="84" t="str">
        <f>REPLACE(INDEX(GroupVertices[Group],MATCH("~"&amp;Edges[[#This Row],[Vertex 1]],GroupVertices[Vertex],0)),1,1,"")</f>
        <v>5</v>
      </c>
      <c r="AF584" s="84" t="str">
        <f>REPLACE(INDEX(GroupVertices[Group],MATCH("~"&amp;Edges[[#This Row],[Vertex 2]],GroupVertices[Vertex],0)),1,1,"")</f>
        <v>5</v>
      </c>
    </row>
    <row r="585" spans="1:32" ht="15">
      <c r="A585" s="66" t="s">
        <v>739</v>
      </c>
      <c r="B585" s="66" t="s">
        <v>906</v>
      </c>
      <c r="C585" s="67"/>
      <c r="D585" s="68"/>
      <c r="E585" s="69"/>
      <c r="F585" s="70"/>
      <c r="G585" s="67"/>
      <c r="H585" s="71"/>
      <c r="I585" s="72"/>
      <c r="J585" s="72"/>
      <c r="K585" s="35"/>
      <c r="L585" s="80">
        <v>585</v>
      </c>
      <c r="M585" s="80"/>
      <c r="N585" s="74"/>
      <c r="O585" s="82" t="s">
        <v>909</v>
      </c>
      <c r="P585" s="82" t="s">
        <v>197</v>
      </c>
      <c r="Q585" s="85" t="s">
        <v>1491</v>
      </c>
      <c r="R585" s="82" t="s">
        <v>739</v>
      </c>
      <c r="S585" s="82" t="s">
        <v>2205</v>
      </c>
      <c r="T585" s="87" t="str">
        <f>HYPERLINK("http://www.youtube.com/channel/UCdPVRYapsEnNZoj0ZGftzMw")</f>
        <v>http://www.youtube.com/channel/UCdPVRYapsEnNZoj0ZGftzMw</v>
      </c>
      <c r="U585" s="82"/>
      <c r="V585" s="82" t="s">
        <v>2374</v>
      </c>
      <c r="W585" s="87" t="str">
        <f t="shared" si="25"/>
        <v>https://www.youtube.com/watch?v=UVf2Yw7uFoE</v>
      </c>
      <c r="X585" s="82" t="s">
        <v>2384</v>
      </c>
      <c r="Y585" s="82">
        <v>0</v>
      </c>
      <c r="Z585" s="89">
        <v>45272.702511574076</v>
      </c>
      <c r="AA585" s="89">
        <v>45272.702511574076</v>
      </c>
      <c r="AB585" s="82"/>
      <c r="AC585" s="82"/>
      <c r="AD585" s="85" t="s">
        <v>2423</v>
      </c>
      <c r="AE585" s="84" t="str">
        <f>REPLACE(INDEX(GroupVertices[Group],MATCH("~"&amp;Edges[[#This Row],[Vertex 1]],GroupVertices[Vertex],0)),1,1,"")</f>
        <v>5</v>
      </c>
      <c r="AF585" s="84" t="str">
        <f>REPLACE(INDEX(GroupVertices[Group],MATCH("~"&amp;Edges[[#This Row],[Vertex 2]],GroupVertices[Vertex],0)),1,1,"")</f>
        <v>5</v>
      </c>
    </row>
    <row r="586" spans="1:32" ht="15">
      <c r="A586" s="66" t="s">
        <v>740</v>
      </c>
      <c r="B586" s="66" t="s">
        <v>906</v>
      </c>
      <c r="C586" s="67"/>
      <c r="D586" s="68"/>
      <c r="E586" s="69"/>
      <c r="F586" s="70"/>
      <c r="G586" s="67"/>
      <c r="H586" s="71"/>
      <c r="I586" s="72"/>
      <c r="J586" s="72"/>
      <c r="K586" s="35"/>
      <c r="L586" s="80">
        <v>586</v>
      </c>
      <c r="M586" s="80"/>
      <c r="N586" s="74"/>
      <c r="O586" s="82" t="s">
        <v>909</v>
      </c>
      <c r="P586" s="82" t="s">
        <v>197</v>
      </c>
      <c r="Q586" s="85" t="s">
        <v>1492</v>
      </c>
      <c r="R586" s="82" t="s">
        <v>740</v>
      </c>
      <c r="S586" s="82" t="s">
        <v>2206</v>
      </c>
      <c r="T586" s="87" t="str">
        <f>HYPERLINK("http://www.youtube.com/channel/UCpFUBwmXD1UjmnPm8KBG-gQ")</f>
        <v>http://www.youtube.com/channel/UCpFUBwmXD1UjmnPm8KBG-gQ</v>
      </c>
      <c r="U586" s="82"/>
      <c r="V586" s="82" t="s">
        <v>2374</v>
      </c>
      <c r="W586" s="87" t="str">
        <f t="shared" si="25"/>
        <v>https://www.youtube.com/watch?v=UVf2Yw7uFoE</v>
      </c>
      <c r="X586" s="82" t="s">
        <v>2384</v>
      </c>
      <c r="Y586" s="82">
        <v>0</v>
      </c>
      <c r="Z586" s="89">
        <v>45272.742164351854</v>
      </c>
      <c r="AA586" s="89">
        <v>45272.742164351854</v>
      </c>
      <c r="AB586" s="82"/>
      <c r="AC586" s="82"/>
      <c r="AD586" s="85" t="s">
        <v>2423</v>
      </c>
      <c r="AE586" s="84" t="str">
        <f>REPLACE(INDEX(GroupVertices[Group],MATCH("~"&amp;Edges[[#This Row],[Vertex 1]],GroupVertices[Vertex],0)),1,1,"")</f>
        <v>5</v>
      </c>
      <c r="AF586" s="84" t="str">
        <f>REPLACE(INDEX(GroupVertices[Group],MATCH("~"&amp;Edges[[#This Row],[Vertex 2]],GroupVertices[Vertex],0)),1,1,"")</f>
        <v>5</v>
      </c>
    </row>
    <row r="587" spans="1:32" ht="15">
      <c r="A587" s="66" t="s">
        <v>741</v>
      </c>
      <c r="B587" s="66" t="s">
        <v>906</v>
      </c>
      <c r="C587" s="67"/>
      <c r="D587" s="68"/>
      <c r="E587" s="69"/>
      <c r="F587" s="70"/>
      <c r="G587" s="67"/>
      <c r="H587" s="71"/>
      <c r="I587" s="72"/>
      <c r="J587" s="72"/>
      <c r="K587" s="35"/>
      <c r="L587" s="80">
        <v>587</v>
      </c>
      <c r="M587" s="80"/>
      <c r="N587" s="74"/>
      <c r="O587" s="82" t="s">
        <v>909</v>
      </c>
      <c r="P587" s="82" t="s">
        <v>197</v>
      </c>
      <c r="Q587" s="85" t="s">
        <v>1493</v>
      </c>
      <c r="R587" s="82" t="s">
        <v>741</v>
      </c>
      <c r="S587" s="82" t="s">
        <v>2207</v>
      </c>
      <c r="T587" s="87" t="str">
        <f>HYPERLINK("http://www.youtube.com/channel/UCtXF6pCd8uSWATsGAzWAMDw")</f>
        <v>http://www.youtube.com/channel/UCtXF6pCd8uSWATsGAzWAMDw</v>
      </c>
      <c r="U587" s="82"/>
      <c r="V587" s="82" t="s">
        <v>2374</v>
      </c>
      <c r="W587" s="87" t="str">
        <f t="shared" si="25"/>
        <v>https://www.youtube.com/watch?v=UVf2Yw7uFoE</v>
      </c>
      <c r="X587" s="82" t="s">
        <v>2384</v>
      </c>
      <c r="Y587" s="82">
        <v>1</v>
      </c>
      <c r="Z587" s="89">
        <v>45272.88790509259</v>
      </c>
      <c r="AA587" s="89">
        <v>45272.888078703705</v>
      </c>
      <c r="AB587" s="82"/>
      <c r="AC587" s="82"/>
      <c r="AD587" s="85" t="s">
        <v>2423</v>
      </c>
      <c r="AE587" s="84" t="str">
        <f>REPLACE(INDEX(GroupVertices[Group],MATCH("~"&amp;Edges[[#This Row],[Vertex 1]],GroupVertices[Vertex],0)),1,1,"")</f>
        <v>5</v>
      </c>
      <c r="AF587" s="84" t="str">
        <f>REPLACE(INDEX(GroupVertices[Group],MATCH("~"&amp;Edges[[#This Row],[Vertex 2]],GroupVertices[Vertex],0)),1,1,"")</f>
        <v>5</v>
      </c>
    </row>
    <row r="588" spans="1:32" ht="15">
      <c r="A588" s="66" t="s">
        <v>742</v>
      </c>
      <c r="B588" s="66" t="s">
        <v>906</v>
      </c>
      <c r="C588" s="67"/>
      <c r="D588" s="68"/>
      <c r="E588" s="69"/>
      <c r="F588" s="70"/>
      <c r="G588" s="67"/>
      <c r="H588" s="71"/>
      <c r="I588" s="72"/>
      <c r="J588" s="72"/>
      <c r="K588" s="35"/>
      <c r="L588" s="80">
        <v>588</v>
      </c>
      <c r="M588" s="80"/>
      <c r="N588" s="74"/>
      <c r="O588" s="82" t="s">
        <v>909</v>
      </c>
      <c r="P588" s="82" t="s">
        <v>197</v>
      </c>
      <c r="Q588" s="85" t="s">
        <v>1494</v>
      </c>
      <c r="R588" s="82" t="s">
        <v>742</v>
      </c>
      <c r="S588" s="82" t="s">
        <v>2208</v>
      </c>
      <c r="T588" s="87" t="str">
        <f>HYPERLINK("http://www.youtube.com/channel/UC4ca4MzLajWp2EeXvx8lQwQ")</f>
        <v>http://www.youtube.com/channel/UC4ca4MzLajWp2EeXvx8lQwQ</v>
      </c>
      <c r="U588" s="82"/>
      <c r="V588" s="82" t="s">
        <v>2374</v>
      </c>
      <c r="W588" s="87" t="str">
        <f t="shared" si="25"/>
        <v>https://www.youtube.com/watch?v=UVf2Yw7uFoE</v>
      </c>
      <c r="X588" s="82" t="s">
        <v>2384</v>
      </c>
      <c r="Y588" s="82">
        <v>1</v>
      </c>
      <c r="Z588" s="89">
        <v>45273.61935185185</v>
      </c>
      <c r="AA588" s="89">
        <v>45273.61935185185</v>
      </c>
      <c r="AB588" s="82"/>
      <c r="AC588" s="82"/>
      <c r="AD588" s="85" t="s">
        <v>2423</v>
      </c>
      <c r="AE588" s="84" t="str">
        <f>REPLACE(INDEX(GroupVertices[Group],MATCH("~"&amp;Edges[[#This Row],[Vertex 1]],GroupVertices[Vertex],0)),1,1,"")</f>
        <v>5</v>
      </c>
      <c r="AF588" s="84" t="str">
        <f>REPLACE(INDEX(GroupVertices[Group],MATCH("~"&amp;Edges[[#This Row],[Vertex 2]],GroupVertices[Vertex],0)),1,1,"")</f>
        <v>5</v>
      </c>
    </row>
    <row r="589" spans="1:32" ht="15">
      <c r="A589" s="66" t="s">
        <v>743</v>
      </c>
      <c r="B589" s="66" t="s">
        <v>906</v>
      </c>
      <c r="C589" s="67"/>
      <c r="D589" s="68"/>
      <c r="E589" s="69"/>
      <c r="F589" s="70"/>
      <c r="G589" s="67"/>
      <c r="H589" s="71"/>
      <c r="I589" s="72"/>
      <c r="J589" s="72"/>
      <c r="K589" s="35"/>
      <c r="L589" s="80">
        <v>589</v>
      </c>
      <c r="M589" s="80"/>
      <c r="N589" s="74"/>
      <c r="O589" s="82" t="s">
        <v>909</v>
      </c>
      <c r="P589" s="82" t="s">
        <v>197</v>
      </c>
      <c r="Q589" s="85" t="s">
        <v>1495</v>
      </c>
      <c r="R589" s="82" t="s">
        <v>743</v>
      </c>
      <c r="S589" s="82" t="s">
        <v>2209</v>
      </c>
      <c r="T589" s="87" t="str">
        <f>HYPERLINK("http://www.youtube.com/channel/UCZyGCssNuaH5dHZtaPncv4g")</f>
        <v>http://www.youtube.com/channel/UCZyGCssNuaH5dHZtaPncv4g</v>
      </c>
      <c r="U589" s="82"/>
      <c r="V589" s="82" t="s">
        <v>2374</v>
      </c>
      <c r="W589" s="87" t="str">
        <f t="shared" si="25"/>
        <v>https://www.youtube.com/watch?v=UVf2Yw7uFoE</v>
      </c>
      <c r="X589" s="82" t="s">
        <v>2384</v>
      </c>
      <c r="Y589" s="82">
        <v>0</v>
      </c>
      <c r="Z589" s="89">
        <v>45273.62997685185</v>
      </c>
      <c r="AA589" s="89">
        <v>45273.62997685185</v>
      </c>
      <c r="AB589" s="82"/>
      <c r="AC589" s="82"/>
      <c r="AD589" s="85" t="s">
        <v>2423</v>
      </c>
      <c r="AE589" s="84" t="str">
        <f>REPLACE(INDEX(GroupVertices[Group],MATCH("~"&amp;Edges[[#This Row],[Vertex 1]],GroupVertices[Vertex],0)),1,1,"")</f>
        <v>5</v>
      </c>
      <c r="AF589" s="84" t="str">
        <f>REPLACE(INDEX(GroupVertices[Group],MATCH("~"&amp;Edges[[#This Row],[Vertex 2]],GroupVertices[Vertex],0)),1,1,"")</f>
        <v>5</v>
      </c>
    </row>
    <row r="590" spans="1:32" ht="15">
      <c r="A590" s="66" t="s">
        <v>744</v>
      </c>
      <c r="B590" s="66" t="s">
        <v>906</v>
      </c>
      <c r="C590" s="67"/>
      <c r="D590" s="68"/>
      <c r="E590" s="69"/>
      <c r="F590" s="70"/>
      <c r="G590" s="67"/>
      <c r="H590" s="71"/>
      <c r="I590" s="72"/>
      <c r="J590" s="72"/>
      <c r="K590" s="35"/>
      <c r="L590" s="80">
        <v>590</v>
      </c>
      <c r="M590" s="80"/>
      <c r="N590" s="74"/>
      <c r="O590" s="82" t="s">
        <v>909</v>
      </c>
      <c r="P590" s="82" t="s">
        <v>197</v>
      </c>
      <c r="Q590" s="85" t="s">
        <v>1496</v>
      </c>
      <c r="R590" s="82" t="s">
        <v>744</v>
      </c>
      <c r="S590" s="82" t="s">
        <v>2210</v>
      </c>
      <c r="T590" s="87" t="str">
        <f>HYPERLINK("http://www.youtube.com/channel/UCK6Zr4YF9bRrG60qD5spc2Q")</f>
        <v>http://www.youtube.com/channel/UCK6Zr4YF9bRrG60qD5spc2Q</v>
      </c>
      <c r="U590" s="82"/>
      <c r="V590" s="82" t="s">
        <v>2374</v>
      </c>
      <c r="W590" s="87" t="str">
        <f t="shared" si="25"/>
        <v>https://www.youtube.com/watch?v=UVf2Yw7uFoE</v>
      </c>
      <c r="X590" s="82" t="s">
        <v>2384</v>
      </c>
      <c r="Y590" s="82">
        <v>0</v>
      </c>
      <c r="Z590" s="89">
        <v>45274.055555555555</v>
      </c>
      <c r="AA590" s="89">
        <v>45274.055555555555</v>
      </c>
      <c r="AB590" s="82"/>
      <c r="AC590" s="82"/>
      <c r="AD590" s="85" t="s">
        <v>2423</v>
      </c>
      <c r="AE590" s="84" t="str">
        <f>REPLACE(INDEX(GroupVertices[Group],MATCH("~"&amp;Edges[[#This Row],[Vertex 1]],GroupVertices[Vertex],0)),1,1,"")</f>
        <v>5</v>
      </c>
      <c r="AF590" s="84" t="str">
        <f>REPLACE(INDEX(GroupVertices[Group],MATCH("~"&amp;Edges[[#This Row],[Vertex 2]],GroupVertices[Vertex],0)),1,1,"")</f>
        <v>5</v>
      </c>
    </row>
    <row r="591" spans="1:32" ht="15">
      <c r="A591" s="66" t="s">
        <v>745</v>
      </c>
      <c r="B591" s="66" t="s">
        <v>906</v>
      </c>
      <c r="C591" s="67"/>
      <c r="D591" s="68"/>
      <c r="E591" s="69"/>
      <c r="F591" s="70"/>
      <c r="G591" s="67"/>
      <c r="H591" s="71"/>
      <c r="I591" s="72"/>
      <c r="J591" s="72"/>
      <c r="K591" s="35"/>
      <c r="L591" s="80">
        <v>591</v>
      </c>
      <c r="M591" s="80"/>
      <c r="N591" s="74"/>
      <c r="O591" s="82" t="s">
        <v>909</v>
      </c>
      <c r="P591" s="82" t="s">
        <v>197</v>
      </c>
      <c r="Q591" s="85" t="s">
        <v>1497</v>
      </c>
      <c r="R591" s="82" t="s">
        <v>745</v>
      </c>
      <c r="S591" s="82" t="s">
        <v>2211</v>
      </c>
      <c r="T591" s="87" t="str">
        <f>HYPERLINK("http://www.youtube.com/channel/UCk76R1VS-zjDxsg2AorjWTg")</f>
        <v>http://www.youtube.com/channel/UCk76R1VS-zjDxsg2AorjWTg</v>
      </c>
      <c r="U591" s="82"/>
      <c r="V591" s="82" t="s">
        <v>2374</v>
      </c>
      <c r="W591" s="87" t="str">
        <f t="shared" si="25"/>
        <v>https://www.youtube.com/watch?v=UVf2Yw7uFoE</v>
      </c>
      <c r="X591" s="82" t="s">
        <v>2384</v>
      </c>
      <c r="Y591" s="82">
        <v>0</v>
      </c>
      <c r="Z591" s="89">
        <v>45274.091782407406</v>
      </c>
      <c r="AA591" s="89">
        <v>45274.091782407406</v>
      </c>
      <c r="AB591" s="82"/>
      <c r="AC591" s="82"/>
      <c r="AD591" s="85" t="s">
        <v>2423</v>
      </c>
      <c r="AE591" s="84" t="str">
        <f>REPLACE(INDEX(GroupVertices[Group],MATCH("~"&amp;Edges[[#This Row],[Vertex 1]],GroupVertices[Vertex],0)),1,1,"")</f>
        <v>5</v>
      </c>
      <c r="AF591" s="84" t="str">
        <f>REPLACE(INDEX(GroupVertices[Group],MATCH("~"&amp;Edges[[#This Row],[Vertex 2]],GroupVertices[Vertex],0)),1,1,"")</f>
        <v>5</v>
      </c>
    </row>
    <row r="592" spans="1:32" ht="15">
      <c r="A592" s="66" t="s">
        <v>746</v>
      </c>
      <c r="B592" s="66" t="s">
        <v>906</v>
      </c>
      <c r="C592" s="67"/>
      <c r="D592" s="68"/>
      <c r="E592" s="69"/>
      <c r="F592" s="70"/>
      <c r="G592" s="67"/>
      <c r="H592" s="71"/>
      <c r="I592" s="72"/>
      <c r="J592" s="72"/>
      <c r="K592" s="35"/>
      <c r="L592" s="80">
        <v>592</v>
      </c>
      <c r="M592" s="80"/>
      <c r="N592" s="74"/>
      <c r="O592" s="82" t="s">
        <v>909</v>
      </c>
      <c r="P592" s="82" t="s">
        <v>197</v>
      </c>
      <c r="Q592" s="85" t="s">
        <v>1498</v>
      </c>
      <c r="R592" s="82" t="s">
        <v>746</v>
      </c>
      <c r="S592" s="82" t="s">
        <v>2212</v>
      </c>
      <c r="T592" s="87" t="str">
        <f>HYPERLINK("http://www.youtube.com/channel/UCyQcnzgVX6AdyjrsCuM0bag")</f>
        <v>http://www.youtube.com/channel/UCyQcnzgVX6AdyjrsCuM0bag</v>
      </c>
      <c r="U592" s="82"/>
      <c r="V592" s="82" t="s">
        <v>2374</v>
      </c>
      <c r="W592" s="87" t="str">
        <f t="shared" si="25"/>
        <v>https://www.youtube.com/watch?v=UVf2Yw7uFoE</v>
      </c>
      <c r="X592" s="82" t="s">
        <v>2384</v>
      </c>
      <c r="Y592" s="82">
        <v>0</v>
      </c>
      <c r="Z592" s="89">
        <v>45274.32666666667</v>
      </c>
      <c r="AA592" s="89">
        <v>45274.32666666667</v>
      </c>
      <c r="AB592" s="82"/>
      <c r="AC592" s="82"/>
      <c r="AD592" s="85" t="s">
        <v>2423</v>
      </c>
      <c r="AE592" s="84" t="str">
        <f>REPLACE(INDEX(GroupVertices[Group],MATCH("~"&amp;Edges[[#This Row],[Vertex 1]],GroupVertices[Vertex],0)),1,1,"")</f>
        <v>5</v>
      </c>
      <c r="AF592" s="84" t="str">
        <f>REPLACE(INDEX(GroupVertices[Group],MATCH("~"&amp;Edges[[#This Row],[Vertex 2]],GroupVertices[Vertex],0)),1,1,"")</f>
        <v>5</v>
      </c>
    </row>
    <row r="593" spans="1:32" ht="15">
      <c r="A593" s="66" t="s">
        <v>747</v>
      </c>
      <c r="B593" s="66" t="s">
        <v>906</v>
      </c>
      <c r="C593" s="67"/>
      <c r="D593" s="68"/>
      <c r="E593" s="69"/>
      <c r="F593" s="70"/>
      <c r="G593" s="67"/>
      <c r="H593" s="71"/>
      <c r="I593" s="72"/>
      <c r="J593" s="72"/>
      <c r="K593" s="35"/>
      <c r="L593" s="80">
        <v>593</v>
      </c>
      <c r="M593" s="80"/>
      <c r="N593" s="74"/>
      <c r="O593" s="82" t="s">
        <v>909</v>
      </c>
      <c r="P593" s="82" t="s">
        <v>197</v>
      </c>
      <c r="Q593" s="85" t="s">
        <v>1499</v>
      </c>
      <c r="R593" s="82" t="s">
        <v>747</v>
      </c>
      <c r="S593" s="82" t="s">
        <v>2213</v>
      </c>
      <c r="T593" s="87" t="str">
        <f aca="true" t="shared" si="26" ref="T593:T598">HYPERLINK("http://www.youtube.com/channel/UCYGwpY4IPQAtIuIV6PKnKWw")</f>
        <v>http://www.youtube.com/channel/UCYGwpY4IPQAtIuIV6PKnKWw</v>
      </c>
      <c r="U593" s="82"/>
      <c r="V593" s="82" t="s">
        <v>2374</v>
      </c>
      <c r="W593" s="87" t="str">
        <f t="shared" si="25"/>
        <v>https://www.youtube.com/watch?v=UVf2Yw7uFoE</v>
      </c>
      <c r="X593" s="82" t="s">
        <v>2384</v>
      </c>
      <c r="Y593" s="82">
        <v>0</v>
      </c>
      <c r="Z593" s="89">
        <v>45274.84422453704</v>
      </c>
      <c r="AA593" s="89">
        <v>45274.84422453704</v>
      </c>
      <c r="AB593" s="82"/>
      <c r="AC593" s="82"/>
      <c r="AD593" s="85" t="s">
        <v>2423</v>
      </c>
      <c r="AE593" s="84" t="str">
        <f>REPLACE(INDEX(GroupVertices[Group],MATCH("~"&amp;Edges[[#This Row],[Vertex 1]],GroupVertices[Vertex],0)),1,1,"")</f>
        <v>5</v>
      </c>
      <c r="AF593" s="84" t="str">
        <f>REPLACE(INDEX(GroupVertices[Group],MATCH("~"&amp;Edges[[#This Row],[Vertex 2]],GroupVertices[Vertex],0)),1,1,"")</f>
        <v>5</v>
      </c>
    </row>
    <row r="594" spans="1:32" ht="15">
      <c r="A594" s="66" t="s">
        <v>747</v>
      </c>
      <c r="B594" s="66" t="s">
        <v>906</v>
      </c>
      <c r="C594" s="67"/>
      <c r="D594" s="68"/>
      <c r="E594" s="69"/>
      <c r="F594" s="70"/>
      <c r="G594" s="67"/>
      <c r="H594" s="71"/>
      <c r="I594" s="72"/>
      <c r="J594" s="72"/>
      <c r="K594" s="35"/>
      <c r="L594" s="80">
        <v>594</v>
      </c>
      <c r="M594" s="80"/>
      <c r="N594" s="74"/>
      <c r="O594" s="82" t="s">
        <v>909</v>
      </c>
      <c r="P594" s="82" t="s">
        <v>197</v>
      </c>
      <c r="Q594" s="85" t="s">
        <v>1500</v>
      </c>
      <c r="R594" s="82" t="s">
        <v>747</v>
      </c>
      <c r="S594" s="82" t="s">
        <v>2213</v>
      </c>
      <c r="T594" s="87" t="str">
        <f t="shared" si="26"/>
        <v>http://www.youtube.com/channel/UCYGwpY4IPQAtIuIV6PKnKWw</v>
      </c>
      <c r="U594" s="82"/>
      <c r="V594" s="82" t="s">
        <v>2374</v>
      </c>
      <c r="W594" s="87" t="str">
        <f aca="true" t="shared" si="27" ref="W594:W620">HYPERLINK("https://www.youtube.com/watch?v=UVf2Yw7uFoE")</f>
        <v>https://www.youtube.com/watch?v=UVf2Yw7uFoE</v>
      </c>
      <c r="X594" s="82" t="s">
        <v>2384</v>
      </c>
      <c r="Y594" s="82">
        <v>0</v>
      </c>
      <c r="Z594" s="89">
        <v>45274.93540509259</v>
      </c>
      <c r="AA594" s="89">
        <v>45274.93540509259</v>
      </c>
      <c r="AB594" s="82"/>
      <c r="AC594" s="82"/>
      <c r="AD594" s="85" t="s">
        <v>2423</v>
      </c>
      <c r="AE594" s="84" t="str">
        <f>REPLACE(INDEX(GroupVertices[Group],MATCH("~"&amp;Edges[[#This Row],[Vertex 1]],GroupVertices[Vertex],0)),1,1,"")</f>
        <v>5</v>
      </c>
      <c r="AF594" s="84" t="str">
        <f>REPLACE(INDEX(GroupVertices[Group],MATCH("~"&amp;Edges[[#This Row],[Vertex 2]],GroupVertices[Vertex],0)),1,1,"")</f>
        <v>5</v>
      </c>
    </row>
    <row r="595" spans="1:32" ht="15">
      <c r="A595" s="66" t="s">
        <v>747</v>
      </c>
      <c r="B595" s="66" t="s">
        <v>906</v>
      </c>
      <c r="C595" s="67"/>
      <c r="D595" s="68"/>
      <c r="E595" s="69"/>
      <c r="F595" s="70"/>
      <c r="G595" s="67"/>
      <c r="H595" s="71"/>
      <c r="I595" s="72"/>
      <c r="J595" s="72"/>
      <c r="K595" s="35"/>
      <c r="L595" s="80">
        <v>595</v>
      </c>
      <c r="M595" s="80"/>
      <c r="N595" s="74"/>
      <c r="O595" s="82" t="s">
        <v>909</v>
      </c>
      <c r="P595" s="82" t="s">
        <v>197</v>
      </c>
      <c r="Q595" s="85" t="s">
        <v>1501</v>
      </c>
      <c r="R595" s="82" t="s">
        <v>747</v>
      </c>
      <c r="S595" s="82" t="s">
        <v>2213</v>
      </c>
      <c r="T595" s="87" t="str">
        <f t="shared" si="26"/>
        <v>http://www.youtube.com/channel/UCYGwpY4IPQAtIuIV6PKnKWw</v>
      </c>
      <c r="U595" s="82"/>
      <c r="V595" s="82" t="s">
        <v>2374</v>
      </c>
      <c r="W595" s="87" t="str">
        <f t="shared" si="27"/>
        <v>https://www.youtube.com/watch?v=UVf2Yw7uFoE</v>
      </c>
      <c r="X595" s="82" t="s">
        <v>2384</v>
      </c>
      <c r="Y595" s="82">
        <v>0</v>
      </c>
      <c r="Z595" s="89">
        <v>45274.93613425926</v>
      </c>
      <c r="AA595" s="89">
        <v>45274.93613425926</v>
      </c>
      <c r="AB595" s="82"/>
      <c r="AC595" s="82"/>
      <c r="AD595" s="85" t="s">
        <v>2423</v>
      </c>
      <c r="AE595" s="84" t="str">
        <f>REPLACE(INDEX(GroupVertices[Group],MATCH("~"&amp;Edges[[#This Row],[Vertex 1]],GroupVertices[Vertex],0)),1,1,"")</f>
        <v>5</v>
      </c>
      <c r="AF595" s="84" t="str">
        <f>REPLACE(INDEX(GroupVertices[Group],MATCH("~"&amp;Edges[[#This Row],[Vertex 2]],GroupVertices[Vertex],0)),1,1,"")</f>
        <v>5</v>
      </c>
    </row>
    <row r="596" spans="1:32" ht="15">
      <c r="A596" s="66" t="s">
        <v>747</v>
      </c>
      <c r="B596" s="66" t="s">
        <v>906</v>
      </c>
      <c r="C596" s="67"/>
      <c r="D596" s="68"/>
      <c r="E596" s="69"/>
      <c r="F596" s="70"/>
      <c r="G596" s="67"/>
      <c r="H596" s="71"/>
      <c r="I596" s="72"/>
      <c r="J596" s="72"/>
      <c r="K596" s="35"/>
      <c r="L596" s="80">
        <v>596</v>
      </c>
      <c r="M596" s="80"/>
      <c r="N596" s="74"/>
      <c r="O596" s="82" t="s">
        <v>909</v>
      </c>
      <c r="P596" s="82" t="s">
        <v>197</v>
      </c>
      <c r="Q596" s="85" t="s">
        <v>1502</v>
      </c>
      <c r="R596" s="82" t="s">
        <v>747</v>
      </c>
      <c r="S596" s="82" t="s">
        <v>2213</v>
      </c>
      <c r="T596" s="87" t="str">
        <f t="shared" si="26"/>
        <v>http://www.youtube.com/channel/UCYGwpY4IPQAtIuIV6PKnKWw</v>
      </c>
      <c r="U596" s="82"/>
      <c r="V596" s="82" t="s">
        <v>2374</v>
      </c>
      <c r="W596" s="87" t="str">
        <f t="shared" si="27"/>
        <v>https://www.youtube.com/watch?v=UVf2Yw7uFoE</v>
      </c>
      <c r="X596" s="82" t="s">
        <v>2384</v>
      </c>
      <c r="Y596" s="82">
        <v>0</v>
      </c>
      <c r="Z596" s="89">
        <v>45274.937418981484</v>
      </c>
      <c r="AA596" s="89">
        <v>45274.937418981484</v>
      </c>
      <c r="AB596" s="82"/>
      <c r="AC596" s="82"/>
      <c r="AD596" s="85" t="s">
        <v>2423</v>
      </c>
      <c r="AE596" s="84" t="str">
        <f>REPLACE(INDEX(GroupVertices[Group],MATCH("~"&amp;Edges[[#This Row],[Vertex 1]],GroupVertices[Vertex],0)),1,1,"")</f>
        <v>5</v>
      </c>
      <c r="AF596" s="84" t="str">
        <f>REPLACE(INDEX(GroupVertices[Group],MATCH("~"&amp;Edges[[#This Row],[Vertex 2]],GroupVertices[Vertex],0)),1,1,"")</f>
        <v>5</v>
      </c>
    </row>
    <row r="597" spans="1:32" ht="15">
      <c r="A597" s="66" t="s">
        <v>747</v>
      </c>
      <c r="B597" s="66" t="s">
        <v>906</v>
      </c>
      <c r="C597" s="67"/>
      <c r="D597" s="68"/>
      <c r="E597" s="69"/>
      <c r="F597" s="70"/>
      <c r="G597" s="67"/>
      <c r="H597" s="71"/>
      <c r="I597" s="72"/>
      <c r="J597" s="72"/>
      <c r="K597" s="35"/>
      <c r="L597" s="80">
        <v>597</v>
      </c>
      <c r="M597" s="80"/>
      <c r="N597" s="74"/>
      <c r="O597" s="82" t="s">
        <v>909</v>
      </c>
      <c r="P597" s="82" t="s">
        <v>197</v>
      </c>
      <c r="Q597" s="85" t="s">
        <v>1503</v>
      </c>
      <c r="R597" s="82" t="s">
        <v>747</v>
      </c>
      <c r="S597" s="82" t="s">
        <v>2213</v>
      </c>
      <c r="T597" s="87" t="str">
        <f t="shared" si="26"/>
        <v>http://www.youtube.com/channel/UCYGwpY4IPQAtIuIV6PKnKWw</v>
      </c>
      <c r="U597" s="82"/>
      <c r="V597" s="82" t="s">
        <v>2374</v>
      </c>
      <c r="W597" s="87" t="str">
        <f t="shared" si="27"/>
        <v>https://www.youtube.com/watch?v=UVf2Yw7uFoE</v>
      </c>
      <c r="X597" s="82" t="s">
        <v>2384</v>
      </c>
      <c r="Y597" s="82">
        <v>0</v>
      </c>
      <c r="Z597" s="89">
        <v>45274.94590277778</v>
      </c>
      <c r="AA597" s="89">
        <v>45274.94590277778</v>
      </c>
      <c r="AB597" s="82"/>
      <c r="AC597" s="82"/>
      <c r="AD597" s="85" t="s">
        <v>2423</v>
      </c>
      <c r="AE597" s="84" t="str">
        <f>REPLACE(INDEX(GroupVertices[Group],MATCH("~"&amp;Edges[[#This Row],[Vertex 1]],GroupVertices[Vertex],0)),1,1,"")</f>
        <v>5</v>
      </c>
      <c r="AF597" s="84" t="str">
        <f>REPLACE(INDEX(GroupVertices[Group],MATCH("~"&amp;Edges[[#This Row],[Vertex 2]],GroupVertices[Vertex],0)),1,1,"")</f>
        <v>5</v>
      </c>
    </row>
    <row r="598" spans="1:32" ht="15">
      <c r="A598" s="66" t="s">
        <v>747</v>
      </c>
      <c r="B598" s="66" t="s">
        <v>906</v>
      </c>
      <c r="C598" s="67"/>
      <c r="D598" s="68"/>
      <c r="E598" s="69"/>
      <c r="F598" s="70"/>
      <c r="G598" s="67"/>
      <c r="H598" s="71"/>
      <c r="I598" s="72"/>
      <c r="J598" s="72"/>
      <c r="K598" s="35"/>
      <c r="L598" s="80">
        <v>598</v>
      </c>
      <c r="M598" s="80"/>
      <c r="N598" s="74"/>
      <c r="O598" s="82" t="s">
        <v>909</v>
      </c>
      <c r="P598" s="82" t="s">
        <v>197</v>
      </c>
      <c r="Q598" s="85" t="s">
        <v>1504</v>
      </c>
      <c r="R598" s="82" t="s">
        <v>747</v>
      </c>
      <c r="S598" s="82" t="s">
        <v>2213</v>
      </c>
      <c r="T598" s="87" t="str">
        <f t="shared" si="26"/>
        <v>http://www.youtube.com/channel/UCYGwpY4IPQAtIuIV6PKnKWw</v>
      </c>
      <c r="U598" s="82"/>
      <c r="V598" s="82" t="s">
        <v>2374</v>
      </c>
      <c r="W598" s="87" t="str">
        <f t="shared" si="27"/>
        <v>https://www.youtube.com/watch?v=UVf2Yw7uFoE</v>
      </c>
      <c r="X598" s="82" t="s">
        <v>2384</v>
      </c>
      <c r="Y598" s="82">
        <v>0</v>
      </c>
      <c r="Z598" s="89">
        <v>45274.947233796294</v>
      </c>
      <c r="AA598" s="89">
        <v>45274.947233796294</v>
      </c>
      <c r="AB598" s="82"/>
      <c r="AC598" s="82"/>
      <c r="AD598" s="85" t="s">
        <v>2423</v>
      </c>
      <c r="AE598" s="84" t="str">
        <f>REPLACE(INDEX(GroupVertices[Group],MATCH("~"&amp;Edges[[#This Row],[Vertex 1]],GroupVertices[Vertex],0)),1,1,"")</f>
        <v>5</v>
      </c>
      <c r="AF598" s="84" t="str">
        <f>REPLACE(INDEX(GroupVertices[Group],MATCH("~"&amp;Edges[[#This Row],[Vertex 2]],GroupVertices[Vertex],0)),1,1,"")</f>
        <v>5</v>
      </c>
    </row>
    <row r="599" spans="1:32" ht="15">
      <c r="A599" s="66" t="s">
        <v>748</v>
      </c>
      <c r="B599" s="66" t="s">
        <v>906</v>
      </c>
      <c r="C599" s="67"/>
      <c r="D599" s="68"/>
      <c r="E599" s="69"/>
      <c r="F599" s="70"/>
      <c r="G599" s="67"/>
      <c r="H599" s="71"/>
      <c r="I599" s="72"/>
      <c r="J599" s="72"/>
      <c r="K599" s="35"/>
      <c r="L599" s="80">
        <v>599</v>
      </c>
      <c r="M599" s="80"/>
      <c r="N599" s="74"/>
      <c r="O599" s="82" t="s">
        <v>909</v>
      </c>
      <c r="P599" s="82" t="s">
        <v>197</v>
      </c>
      <c r="Q599" s="85" t="s">
        <v>1505</v>
      </c>
      <c r="R599" s="82" t="s">
        <v>748</v>
      </c>
      <c r="S599" s="82" t="s">
        <v>2214</v>
      </c>
      <c r="T599" s="87" t="str">
        <f>HYPERLINK("http://www.youtube.com/channel/UC_7I24RfRdWcifKv0Dij7SQ")</f>
        <v>http://www.youtube.com/channel/UC_7I24RfRdWcifKv0Dij7SQ</v>
      </c>
      <c r="U599" s="82"/>
      <c r="V599" s="82" t="s">
        <v>2374</v>
      </c>
      <c r="W599" s="87" t="str">
        <f t="shared" si="27"/>
        <v>https://www.youtube.com/watch?v=UVf2Yw7uFoE</v>
      </c>
      <c r="X599" s="82" t="s">
        <v>2384</v>
      </c>
      <c r="Y599" s="82">
        <v>0</v>
      </c>
      <c r="Z599" s="89">
        <v>45275.702881944446</v>
      </c>
      <c r="AA599" s="89">
        <v>45275.702881944446</v>
      </c>
      <c r="AB599" s="82"/>
      <c r="AC599" s="82"/>
      <c r="AD599" s="85" t="s">
        <v>2423</v>
      </c>
      <c r="AE599" s="84" t="str">
        <f>REPLACE(INDEX(GroupVertices[Group],MATCH("~"&amp;Edges[[#This Row],[Vertex 1]],GroupVertices[Vertex],0)),1,1,"")</f>
        <v>5</v>
      </c>
      <c r="AF599" s="84" t="str">
        <f>REPLACE(INDEX(GroupVertices[Group],MATCH("~"&amp;Edges[[#This Row],[Vertex 2]],GroupVertices[Vertex],0)),1,1,"")</f>
        <v>5</v>
      </c>
    </row>
    <row r="600" spans="1:32" ht="15">
      <c r="A600" s="66" t="s">
        <v>749</v>
      </c>
      <c r="B600" s="66" t="s">
        <v>906</v>
      </c>
      <c r="C600" s="67"/>
      <c r="D600" s="68"/>
      <c r="E600" s="69"/>
      <c r="F600" s="70"/>
      <c r="G600" s="67"/>
      <c r="H600" s="71"/>
      <c r="I600" s="72"/>
      <c r="J600" s="72"/>
      <c r="K600" s="35"/>
      <c r="L600" s="80">
        <v>600</v>
      </c>
      <c r="M600" s="80"/>
      <c r="N600" s="74"/>
      <c r="O600" s="82" t="s">
        <v>909</v>
      </c>
      <c r="P600" s="82" t="s">
        <v>197</v>
      </c>
      <c r="Q600" s="85" t="s">
        <v>1506</v>
      </c>
      <c r="R600" s="82" t="s">
        <v>749</v>
      </c>
      <c r="S600" s="82" t="s">
        <v>2215</v>
      </c>
      <c r="T600" s="87" t="str">
        <f>HYPERLINK("http://www.youtube.com/channel/UCHLxf9I0oZ8Zpjjb5871BLg")</f>
        <v>http://www.youtube.com/channel/UCHLxf9I0oZ8Zpjjb5871BLg</v>
      </c>
      <c r="U600" s="82"/>
      <c r="V600" s="82" t="s">
        <v>2374</v>
      </c>
      <c r="W600" s="87" t="str">
        <f t="shared" si="27"/>
        <v>https://www.youtube.com/watch?v=UVf2Yw7uFoE</v>
      </c>
      <c r="X600" s="82" t="s">
        <v>2384</v>
      </c>
      <c r="Y600" s="82">
        <v>0</v>
      </c>
      <c r="Z600" s="89">
        <v>45276.4540625</v>
      </c>
      <c r="AA600" s="89">
        <v>45276.4540625</v>
      </c>
      <c r="AB600" s="82"/>
      <c r="AC600" s="82"/>
      <c r="AD600" s="85" t="s">
        <v>2423</v>
      </c>
      <c r="AE600" s="84" t="str">
        <f>REPLACE(INDEX(GroupVertices[Group],MATCH("~"&amp;Edges[[#This Row],[Vertex 1]],GroupVertices[Vertex],0)),1,1,"")</f>
        <v>5</v>
      </c>
      <c r="AF600" s="84" t="str">
        <f>REPLACE(INDEX(GroupVertices[Group],MATCH("~"&amp;Edges[[#This Row],[Vertex 2]],GroupVertices[Vertex],0)),1,1,"")</f>
        <v>5</v>
      </c>
    </row>
    <row r="601" spans="1:32" ht="15">
      <c r="A601" s="66" t="s">
        <v>749</v>
      </c>
      <c r="B601" s="66" t="s">
        <v>906</v>
      </c>
      <c r="C601" s="67"/>
      <c r="D601" s="68"/>
      <c r="E601" s="69"/>
      <c r="F601" s="70"/>
      <c r="G601" s="67"/>
      <c r="H601" s="71"/>
      <c r="I601" s="72"/>
      <c r="J601" s="72"/>
      <c r="K601" s="35"/>
      <c r="L601" s="80">
        <v>601</v>
      </c>
      <c r="M601" s="80"/>
      <c r="N601" s="74"/>
      <c r="O601" s="82" t="s">
        <v>909</v>
      </c>
      <c r="P601" s="82" t="s">
        <v>197</v>
      </c>
      <c r="Q601" s="85" t="s">
        <v>1507</v>
      </c>
      <c r="R601" s="82" t="s">
        <v>749</v>
      </c>
      <c r="S601" s="82" t="s">
        <v>2215</v>
      </c>
      <c r="T601" s="87" t="str">
        <f>HYPERLINK("http://www.youtube.com/channel/UCHLxf9I0oZ8Zpjjb5871BLg")</f>
        <v>http://www.youtube.com/channel/UCHLxf9I0oZ8Zpjjb5871BLg</v>
      </c>
      <c r="U601" s="82"/>
      <c r="V601" s="82" t="s">
        <v>2374</v>
      </c>
      <c r="W601" s="87" t="str">
        <f t="shared" si="27"/>
        <v>https://www.youtube.com/watch?v=UVf2Yw7uFoE</v>
      </c>
      <c r="X601" s="82" t="s">
        <v>2384</v>
      </c>
      <c r="Y601" s="82">
        <v>0</v>
      </c>
      <c r="Z601" s="89">
        <v>45276.45554398148</v>
      </c>
      <c r="AA601" s="89">
        <v>45276.45554398148</v>
      </c>
      <c r="AB601" s="82"/>
      <c r="AC601" s="82"/>
      <c r="AD601" s="85" t="s">
        <v>2423</v>
      </c>
      <c r="AE601" s="84" t="str">
        <f>REPLACE(INDEX(GroupVertices[Group],MATCH("~"&amp;Edges[[#This Row],[Vertex 1]],GroupVertices[Vertex],0)),1,1,"")</f>
        <v>5</v>
      </c>
      <c r="AF601" s="84" t="str">
        <f>REPLACE(INDEX(GroupVertices[Group],MATCH("~"&amp;Edges[[#This Row],[Vertex 2]],GroupVertices[Vertex],0)),1,1,"")</f>
        <v>5</v>
      </c>
    </row>
    <row r="602" spans="1:32" ht="15">
      <c r="A602" s="66" t="s">
        <v>750</v>
      </c>
      <c r="B602" s="66" t="s">
        <v>906</v>
      </c>
      <c r="C602" s="67"/>
      <c r="D602" s="68"/>
      <c r="E602" s="69"/>
      <c r="F602" s="70"/>
      <c r="G602" s="67"/>
      <c r="H602" s="71"/>
      <c r="I602" s="72"/>
      <c r="J602" s="72"/>
      <c r="K602" s="35"/>
      <c r="L602" s="80">
        <v>602</v>
      </c>
      <c r="M602" s="80"/>
      <c r="N602" s="74"/>
      <c r="O602" s="82" t="s">
        <v>909</v>
      </c>
      <c r="P602" s="82" t="s">
        <v>197</v>
      </c>
      <c r="Q602" s="85" t="s">
        <v>1508</v>
      </c>
      <c r="R602" s="82" t="s">
        <v>750</v>
      </c>
      <c r="S602" s="82" t="s">
        <v>2216</v>
      </c>
      <c r="T602" s="87" t="str">
        <f>HYPERLINK("http://www.youtube.com/channel/UC6u4tPECLB4EawEgtGtg9rA")</f>
        <v>http://www.youtube.com/channel/UC6u4tPECLB4EawEgtGtg9rA</v>
      </c>
      <c r="U602" s="82"/>
      <c r="V602" s="82" t="s">
        <v>2374</v>
      </c>
      <c r="W602" s="87" t="str">
        <f t="shared" si="27"/>
        <v>https://www.youtube.com/watch?v=UVf2Yw7uFoE</v>
      </c>
      <c r="X602" s="82" t="s">
        <v>2384</v>
      </c>
      <c r="Y602" s="82">
        <v>0</v>
      </c>
      <c r="Z602" s="89">
        <v>45276.727638888886</v>
      </c>
      <c r="AA602" s="89">
        <v>45276.727638888886</v>
      </c>
      <c r="AB602" s="82"/>
      <c r="AC602" s="82"/>
      <c r="AD602" s="85" t="s">
        <v>2423</v>
      </c>
      <c r="AE602" s="84" t="str">
        <f>REPLACE(INDEX(GroupVertices[Group],MATCH("~"&amp;Edges[[#This Row],[Vertex 1]],GroupVertices[Vertex],0)),1,1,"")</f>
        <v>5</v>
      </c>
      <c r="AF602" s="84" t="str">
        <f>REPLACE(INDEX(GroupVertices[Group],MATCH("~"&amp;Edges[[#This Row],[Vertex 2]],GroupVertices[Vertex],0)),1,1,"")</f>
        <v>5</v>
      </c>
    </row>
    <row r="603" spans="1:32" ht="15">
      <c r="A603" s="66" t="s">
        <v>751</v>
      </c>
      <c r="B603" s="66" t="s">
        <v>906</v>
      </c>
      <c r="C603" s="67"/>
      <c r="D603" s="68"/>
      <c r="E603" s="69"/>
      <c r="F603" s="70"/>
      <c r="G603" s="67"/>
      <c r="H603" s="71"/>
      <c r="I603" s="72"/>
      <c r="J603" s="72"/>
      <c r="K603" s="35"/>
      <c r="L603" s="80">
        <v>603</v>
      </c>
      <c r="M603" s="80"/>
      <c r="N603" s="74"/>
      <c r="O603" s="82" t="s">
        <v>909</v>
      </c>
      <c r="P603" s="82" t="s">
        <v>197</v>
      </c>
      <c r="Q603" s="85" t="s">
        <v>1509</v>
      </c>
      <c r="R603" s="82" t="s">
        <v>751</v>
      </c>
      <c r="S603" s="82" t="s">
        <v>2217</v>
      </c>
      <c r="T603" s="87" t="str">
        <f>HYPERLINK("http://www.youtube.com/channel/UCntcDrXPC6VM5-wm5EoD3jA")</f>
        <v>http://www.youtube.com/channel/UCntcDrXPC6VM5-wm5EoD3jA</v>
      </c>
      <c r="U603" s="82"/>
      <c r="V603" s="82" t="s">
        <v>2374</v>
      </c>
      <c r="W603" s="87" t="str">
        <f t="shared" si="27"/>
        <v>https://www.youtube.com/watch?v=UVf2Yw7uFoE</v>
      </c>
      <c r="X603" s="82" t="s">
        <v>2384</v>
      </c>
      <c r="Y603" s="82">
        <v>0</v>
      </c>
      <c r="Z603" s="89">
        <v>45277.09473379629</v>
      </c>
      <c r="AA603" s="89">
        <v>45277.09473379629</v>
      </c>
      <c r="AB603" s="82"/>
      <c r="AC603" s="82"/>
      <c r="AD603" s="85" t="s">
        <v>2423</v>
      </c>
      <c r="AE603" s="84" t="str">
        <f>REPLACE(INDEX(GroupVertices[Group],MATCH("~"&amp;Edges[[#This Row],[Vertex 1]],GroupVertices[Vertex],0)),1,1,"")</f>
        <v>5</v>
      </c>
      <c r="AF603" s="84" t="str">
        <f>REPLACE(INDEX(GroupVertices[Group],MATCH("~"&amp;Edges[[#This Row],[Vertex 2]],GroupVertices[Vertex],0)),1,1,"")</f>
        <v>5</v>
      </c>
    </row>
    <row r="604" spans="1:32" ht="15">
      <c r="A604" s="66" t="s">
        <v>752</v>
      </c>
      <c r="B604" s="66" t="s">
        <v>906</v>
      </c>
      <c r="C604" s="67"/>
      <c r="D604" s="68"/>
      <c r="E604" s="69"/>
      <c r="F604" s="70"/>
      <c r="G604" s="67"/>
      <c r="H604" s="71"/>
      <c r="I604" s="72"/>
      <c r="J604" s="72"/>
      <c r="K604" s="35"/>
      <c r="L604" s="80">
        <v>604</v>
      </c>
      <c r="M604" s="80"/>
      <c r="N604" s="74"/>
      <c r="O604" s="82" t="s">
        <v>909</v>
      </c>
      <c r="P604" s="82" t="s">
        <v>197</v>
      </c>
      <c r="Q604" s="85" t="s">
        <v>1510</v>
      </c>
      <c r="R604" s="82" t="s">
        <v>752</v>
      </c>
      <c r="S604" s="82" t="s">
        <v>2218</v>
      </c>
      <c r="T604" s="87" t="str">
        <f>HYPERLINK("http://www.youtube.com/channel/UCPCqA8g1xsdob2WCfpvmijQ")</f>
        <v>http://www.youtube.com/channel/UCPCqA8g1xsdob2WCfpvmijQ</v>
      </c>
      <c r="U604" s="82"/>
      <c r="V604" s="82" t="s">
        <v>2374</v>
      </c>
      <c r="W604" s="87" t="str">
        <f t="shared" si="27"/>
        <v>https://www.youtube.com/watch?v=UVf2Yw7uFoE</v>
      </c>
      <c r="X604" s="82" t="s">
        <v>2384</v>
      </c>
      <c r="Y604" s="82">
        <v>0</v>
      </c>
      <c r="Z604" s="89">
        <v>45279.107037037036</v>
      </c>
      <c r="AA604" s="89">
        <v>45279.107037037036</v>
      </c>
      <c r="AB604" s="82"/>
      <c r="AC604" s="82"/>
      <c r="AD604" s="85" t="s">
        <v>2423</v>
      </c>
      <c r="AE604" s="84" t="str">
        <f>REPLACE(INDEX(GroupVertices[Group],MATCH("~"&amp;Edges[[#This Row],[Vertex 1]],GroupVertices[Vertex],0)),1,1,"")</f>
        <v>5</v>
      </c>
      <c r="AF604" s="84" t="str">
        <f>REPLACE(INDEX(GroupVertices[Group],MATCH("~"&amp;Edges[[#This Row],[Vertex 2]],GroupVertices[Vertex],0)),1,1,"")</f>
        <v>5</v>
      </c>
    </row>
    <row r="605" spans="1:32" ht="15">
      <c r="A605" s="66" t="s">
        <v>753</v>
      </c>
      <c r="B605" s="66" t="s">
        <v>906</v>
      </c>
      <c r="C605" s="67"/>
      <c r="D605" s="68"/>
      <c r="E605" s="69"/>
      <c r="F605" s="70"/>
      <c r="G605" s="67"/>
      <c r="H605" s="71"/>
      <c r="I605" s="72"/>
      <c r="J605" s="72"/>
      <c r="K605" s="35"/>
      <c r="L605" s="80">
        <v>605</v>
      </c>
      <c r="M605" s="80"/>
      <c r="N605" s="74"/>
      <c r="O605" s="82" t="s">
        <v>909</v>
      </c>
      <c r="P605" s="82" t="s">
        <v>197</v>
      </c>
      <c r="Q605" s="85" t="s">
        <v>1511</v>
      </c>
      <c r="R605" s="82" t="s">
        <v>753</v>
      </c>
      <c r="S605" s="82" t="s">
        <v>2219</v>
      </c>
      <c r="T605" s="87" t="str">
        <f>HYPERLINK("http://www.youtube.com/channel/UCHEh2MnE0-KnGcZUoOKYmzQ")</f>
        <v>http://www.youtube.com/channel/UCHEh2MnE0-KnGcZUoOKYmzQ</v>
      </c>
      <c r="U605" s="82"/>
      <c r="V605" s="82" t="s">
        <v>2374</v>
      </c>
      <c r="W605" s="87" t="str">
        <f t="shared" si="27"/>
        <v>https://www.youtube.com/watch?v=UVf2Yw7uFoE</v>
      </c>
      <c r="X605" s="82" t="s">
        <v>2384</v>
      </c>
      <c r="Y605" s="82">
        <v>0</v>
      </c>
      <c r="Z605" s="89">
        <v>45280.64042824074</v>
      </c>
      <c r="AA605" s="89">
        <v>45280.64042824074</v>
      </c>
      <c r="AB605" s="82"/>
      <c r="AC605" s="82"/>
      <c r="AD605" s="85" t="s">
        <v>2423</v>
      </c>
      <c r="AE605" s="84" t="str">
        <f>REPLACE(INDEX(GroupVertices[Group],MATCH("~"&amp;Edges[[#This Row],[Vertex 1]],GroupVertices[Vertex],0)),1,1,"")</f>
        <v>5</v>
      </c>
      <c r="AF605" s="84" t="str">
        <f>REPLACE(INDEX(GroupVertices[Group],MATCH("~"&amp;Edges[[#This Row],[Vertex 2]],GroupVertices[Vertex],0)),1,1,"")</f>
        <v>5</v>
      </c>
    </row>
    <row r="606" spans="1:32" ht="15">
      <c r="A606" s="66" t="s">
        <v>754</v>
      </c>
      <c r="B606" s="66" t="s">
        <v>906</v>
      </c>
      <c r="C606" s="67"/>
      <c r="D606" s="68"/>
      <c r="E606" s="69"/>
      <c r="F606" s="70"/>
      <c r="G606" s="67"/>
      <c r="H606" s="71"/>
      <c r="I606" s="72"/>
      <c r="J606" s="72"/>
      <c r="K606" s="35"/>
      <c r="L606" s="80">
        <v>606</v>
      </c>
      <c r="M606" s="80"/>
      <c r="N606" s="74"/>
      <c r="O606" s="82" t="s">
        <v>909</v>
      </c>
      <c r="P606" s="82" t="s">
        <v>197</v>
      </c>
      <c r="Q606" s="85" t="s">
        <v>1512</v>
      </c>
      <c r="R606" s="82" t="s">
        <v>754</v>
      </c>
      <c r="S606" s="82" t="s">
        <v>2220</v>
      </c>
      <c r="T606" s="87" t="str">
        <f>HYPERLINK("http://www.youtube.com/channel/UCQgNOlW1vOK55tFnYnXGn7g")</f>
        <v>http://www.youtube.com/channel/UCQgNOlW1vOK55tFnYnXGn7g</v>
      </c>
      <c r="U606" s="82"/>
      <c r="V606" s="82" t="s">
        <v>2374</v>
      </c>
      <c r="W606" s="87" t="str">
        <f t="shared" si="27"/>
        <v>https://www.youtube.com/watch?v=UVf2Yw7uFoE</v>
      </c>
      <c r="X606" s="82" t="s">
        <v>2384</v>
      </c>
      <c r="Y606" s="82">
        <v>0</v>
      </c>
      <c r="Z606" s="89">
        <v>45280.81002314815</v>
      </c>
      <c r="AA606" s="89">
        <v>45280.81002314815</v>
      </c>
      <c r="AB606" s="82"/>
      <c r="AC606" s="82"/>
      <c r="AD606" s="85" t="s">
        <v>2423</v>
      </c>
      <c r="AE606" s="84" t="str">
        <f>REPLACE(INDEX(GroupVertices[Group],MATCH("~"&amp;Edges[[#This Row],[Vertex 1]],GroupVertices[Vertex],0)),1,1,"")</f>
        <v>5</v>
      </c>
      <c r="AF606" s="84" t="str">
        <f>REPLACE(INDEX(GroupVertices[Group],MATCH("~"&amp;Edges[[#This Row],[Vertex 2]],GroupVertices[Vertex],0)),1,1,"")</f>
        <v>5</v>
      </c>
    </row>
    <row r="607" spans="1:32" ht="15">
      <c r="A607" s="66" t="s">
        <v>755</v>
      </c>
      <c r="B607" s="66" t="s">
        <v>906</v>
      </c>
      <c r="C607" s="67"/>
      <c r="D607" s="68"/>
      <c r="E607" s="69"/>
      <c r="F607" s="70"/>
      <c r="G607" s="67"/>
      <c r="H607" s="71"/>
      <c r="I607" s="72"/>
      <c r="J607" s="72"/>
      <c r="K607" s="35"/>
      <c r="L607" s="80">
        <v>607</v>
      </c>
      <c r="M607" s="80"/>
      <c r="N607" s="74"/>
      <c r="O607" s="82" t="s">
        <v>909</v>
      </c>
      <c r="P607" s="82" t="s">
        <v>197</v>
      </c>
      <c r="Q607" s="85" t="s">
        <v>1513</v>
      </c>
      <c r="R607" s="82" t="s">
        <v>755</v>
      </c>
      <c r="S607" s="82" t="s">
        <v>2221</v>
      </c>
      <c r="T607" s="87" t="str">
        <f>HYPERLINK("http://www.youtube.com/channel/UCxsM10039D4xZ5Pmfo9M29g")</f>
        <v>http://www.youtube.com/channel/UCxsM10039D4xZ5Pmfo9M29g</v>
      </c>
      <c r="U607" s="82"/>
      <c r="V607" s="82" t="s">
        <v>2374</v>
      </c>
      <c r="W607" s="87" t="str">
        <f t="shared" si="27"/>
        <v>https://www.youtube.com/watch?v=UVf2Yw7uFoE</v>
      </c>
      <c r="X607" s="82" t="s">
        <v>2384</v>
      </c>
      <c r="Y607" s="82">
        <v>7</v>
      </c>
      <c r="Z607" s="89">
        <v>45281.65454861111</v>
      </c>
      <c r="AA607" s="89">
        <v>45281.65454861111</v>
      </c>
      <c r="AB607" s="82"/>
      <c r="AC607" s="82"/>
      <c r="AD607" s="85" t="s">
        <v>2423</v>
      </c>
      <c r="AE607" s="84" t="str">
        <f>REPLACE(INDEX(GroupVertices[Group],MATCH("~"&amp;Edges[[#This Row],[Vertex 1]],GroupVertices[Vertex],0)),1,1,"")</f>
        <v>5</v>
      </c>
      <c r="AF607" s="84" t="str">
        <f>REPLACE(INDEX(GroupVertices[Group],MATCH("~"&amp;Edges[[#This Row],[Vertex 2]],GroupVertices[Vertex],0)),1,1,"")</f>
        <v>5</v>
      </c>
    </row>
    <row r="608" spans="1:32" ht="15">
      <c r="A608" s="66" t="s">
        <v>756</v>
      </c>
      <c r="B608" s="66" t="s">
        <v>906</v>
      </c>
      <c r="C608" s="67"/>
      <c r="D608" s="68"/>
      <c r="E608" s="69"/>
      <c r="F608" s="70"/>
      <c r="G608" s="67"/>
      <c r="H608" s="71"/>
      <c r="I608" s="72"/>
      <c r="J608" s="72"/>
      <c r="K608" s="35"/>
      <c r="L608" s="80">
        <v>608</v>
      </c>
      <c r="M608" s="80"/>
      <c r="N608" s="74"/>
      <c r="O608" s="82" t="s">
        <v>909</v>
      </c>
      <c r="P608" s="82" t="s">
        <v>197</v>
      </c>
      <c r="Q608" s="85" t="s">
        <v>1514</v>
      </c>
      <c r="R608" s="82" t="s">
        <v>756</v>
      </c>
      <c r="S608" s="82" t="s">
        <v>2222</v>
      </c>
      <c r="T608" s="87" t="str">
        <f>HYPERLINK("http://www.youtube.com/channel/UCp6h1jr5GhR3z93KAOkBNUg")</f>
        <v>http://www.youtube.com/channel/UCp6h1jr5GhR3z93KAOkBNUg</v>
      </c>
      <c r="U608" s="82"/>
      <c r="V608" s="82" t="s">
        <v>2374</v>
      </c>
      <c r="W608" s="87" t="str">
        <f t="shared" si="27"/>
        <v>https://www.youtube.com/watch?v=UVf2Yw7uFoE</v>
      </c>
      <c r="X608" s="82" t="s">
        <v>2384</v>
      </c>
      <c r="Y608" s="82">
        <v>0</v>
      </c>
      <c r="Z608" s="89">
        <v>45281.79175925926</v>
      </c>
      <c r="AA608" s="89">
        <v>45281.79175925926</v>
      </c>
      <c r="AB608" s="82"/>
      <c r="AC608" s="82"/>
      <c r="AD608" s="85" t="s">
        <v>2423</v>
      </c>
      <c r="AE608" s="84" t="str">
        <f>REPLACE(INDEX(GroupVertices[Group],MATCH("~"&amp;Edges[[#This Row],[Vertex 1]],GroupVertices[Vertex],0)),1,1,"")</f>
        <v>5</v>
      </c>
      <c r="AF608" s="84" t="str">
        <f>REPLACE(INDEX(GroupVertices[Group],MATCH("~"&amp;Edges[[#This Row],[Vertex 2]],GroupVertices[Vertex],0)),1,1,"")</f>
        <v>5</v>
      </c>
    </row>
    <row r="609" spans="1:32" ht="15">
      <c r="A609" s="66" t="s">
        <v>757</v>
      </c>
      <c r="B609" s="66" t="s">
        <v>906</v>
      </c>
      <c r="C609" s="67"/>
      <c r="D609" s="68"/>
      <c r="E609" s="69"/>
      <c r="F609" s="70"/>
      <c r="G609" s="67"/>
      <c r="H609" s="71"/>
      <c r="I609" s="72"/>
      <c r="J609" s="72"/>
      <c r="K609" s="35"/>
      <c r="L609" s="80">
        <v>609</v>
      </c>
      <c r="M609" s="80"/>
      <c r="N609" s="74"/>
      <c r="O609" s="82" t="s">
        <v>909</v>
      </c>
      <c r="P609" s="82" t="s">
        <v>197</v>
      </c>
      <c r="Q609" s="85" t="s">
        <v>1515</v>
      </c>
      <c r="R609" s="82" t="s">
        <v>757</v>
      </c>
      <c r="S609" s="82" t="s">
        <v>2223</v>
      </c>
      <c r="T609" s="87" t="str">
        <f>HYPERLINK("http://www.youtube.com/channel/UC193fs4PiY7pS5gSisIFNcg")</f>
        <v>http://www.youtube.com/channel/UC193fs4PiY7pS5gSisIFNcg</v>
      </c>
      <c r="U609" s="82"/>
      <c r="V609" s="82" t="s">
        <v>2374</v>
      </c>
      <c r="W609" s="87" t="str">
        <f t="shared" si="27"/>
        <v>https://www.youtube.com/watch?v=UVf2Yw7uFoE</v>
      </c>
      <c r="X609" s="82" t="s">
        <v>2384</v>
      </c>
      <c r="Y609" s="82">
        <v>0</v>
      </c>
      <c r="Z609" s="89">
        <v>45281.84804398148</v>
      </c>
      <c r="AA609" s="89">
        <v>45281.84804398148</v>
      </c>
      <c r="AB609" s="82"/>
      <c r="AC609" s="82"/>
      <c r="AD609" s="85" t="s">
        <v>2423</v>
      </c>
      <c r="AE609" s="84" t="str">
        <f>REPLACE(INDEX(GroupVertices[Group],MATCH("~"&amp;Edges[[#This Row],[Vertex 1]],GroupVertices[Vertex],0)),1,1,"")</f>
        <v>5</v>
      </c>
      <c r="AF609" s="84" t="str">
        <f>REPLACE(INDEX(GroupVertices[Group],MATCH("~"&amp;Edges[[#This Row],[Vertex 2]],GroupVertices[Vertex],0)),1,1,"")</f>
        <v>5</v>
      </c>
    </row>
    <row r="610" spans="1:32" ht="15">
      <c r="A610" s="66" t="s">
        <v>758</v>
      </c>
      <c r="B610" s="66" t="s">
        <v>906</v>
      </c>
      <c r="C610" s="67"/>
      <c r="D610" s="68"/>
      <c r="E610" s="69"/>
      <c r="F610" s="70"/>
      <c r="G610" s="67"/>
      <c r="H610" s="71"/>
      <c r="I610" s="72"/>
      <c r="J610" s="72"/>
      <c r="K610" s="35"/>
      <c r="L610" s="80">
        <v>610</v>
      </c>
      <c r="M610" s="80"/>
      <c r="N610" s="74"/>
      <c r="O610" s="82" t="s">
        <v>909</v>
      </c>
      <c r="P610" s="82" t="s">
        <v>197</v>
      </c>
      <c r="Q610" s="85" t="s">
        <v>1516</v>
      </c>
      <c r="R610" s="82" t="s">
        <v>758</v>
      </c>
      <c r="S610" s="82" t="s">
        <v>2224</v>
      </c>
      <c r="T610" s="87" t="str">
        <f>HYPERLINK("http://www.youtube.com/channel/UC-THlz4P2aQjarTTMS8bWog")</f>
        <v>http://www.youtube.com/channel/UC-THlz4P2aQjarTTMS8bWog</v>
      </c>
      <c r="U610" s="82"/>
      <c r="V610" s="82" t="s">
        <v>2374</v>
      </c>
      <c r="W610" s="87" t="str">
        <f t="shared" si="27"/>
        <v>https://www.youtube.com/watch?v=UVf2Yw7uFoE</v>
      </c>
      <c r="X610" s="82" t="s">
        <v>2384</v>
      </c>
      <c r="Y610" s="82">
        <v>0</v>
      </c>
      <c r="Z610" s="89">
        <v>45281.98119212963</v>
      </c>
      <c r="AA610" s="89">
        <v>45281.98119212963</v>
      </c>
      <c r="AB610" s="82"/>
      <c r="AC610" s="82"/>
      <c r="AD610" s="85" t="s">
        <v>2423</v>
      </c>
      <c r="AE610" s="84" t="str">
        <f>REPLACE(INDEX(GroupVertices[Group],MATCH("~"&amp;Edges[[#This Row],[Vertex 1]],GroupVertices[Vertex],0)),1,1,"")</f>
        <v>5</v>
      </c>
      <c r="AF610" s="84" t="str">
        <f>REPLACE(INDEX(GroupVertices[Group],MATCH("~"&amp;Edges[[#This Row],[Vertex 2]],GroupVertices[Vertex],0)),1,1,"")</f>
        <v>5</v>
      </c>
    </row>
    <row r="611" spans="1:32" ht="15">
      <c r="A611" s="66" t="s">
        <v>759</v>
      </c>
      <c r="B611" s="66" t="s">
        <v>906</v>
      </c>
      <c r="C611" s="67"/>
      <c r="D611" s="68"/>
      <c r="E611" s="69"/>
      <c r="F611" s="70"/>
      <c r="G611" s="67"/>
      <c r="H611" s="71"/>
      <c r="I611" s="72"/>
      <c r="J611" s="72"/>
      <c r="K611" s="35"/>
      <c r="L611" s="80">
        <v>611</v>
      </c>
      <c r="M611" s="80"/>
      <c r="N611" s="74"/>
      <c r="O611" s="82" t="s">
        <v>909</v>
      </c>
      <c r="P611" s="82" t="s">
        <v>197</v>
      </c>
      <c r="Q611" s="85" t="s">
        <v>1517</v>
      </c>
      <c r="R611" s="82" t="s">
        <v>759</v>
      </c>
      <c r="S611" s="82" t="s">
        <v>2225</v>
      </c>
      <c r="T611" s="87" t="str">
        <f>HYPERLINK("http://www.youtube.com/channel/UCdAVmaBZmEHe-CSOj1yuaIA")</f>
        <v>http://www.youtube.com/channel/UCdAVmaBZmEHe-CSOj1yuaIA</v>
      </c>
      <c r="U611" s="82"/>
      <c r="V611" s="82" t="s">
        <v>2374</v>
      </c>
      <c r="W611" s="87" t="str">
        <f t="shared" si="27"/>
        <v>https://www.youtube.com/watch?v=UVf2Yw7uFoE</v>
      </c>
      <c r="X611" s="82" t="s">
        <v>2384</v>
      </c>
      <c r="Y611" s="82">
        <v>0</v>
      </c>
      <c r="Z611" s="89">
        <v>45282.367951388886</v>
      </c>
      <c r="AA611" s="89">
        <v>45282.367951388886</v>
      </c>
      <c r="AB611" s="82"/>
      <c r="AC611" s="82"/>
      <c r="AD611" s="85" t="s">
        <v>2423</v>
      </c>
      <c r="AE611" s="84" t="str">
        <f>REPLACE(INDEX(GroupVertices[Group],MATCH("~"&amp;Edges[[#This Row],[Vertex 1]],GroupVertices[Vertex],0)),1,1,"")</f>
        <v>5</v>
      </c>
      <c r="AF611" s="84" t="str">
        <f>REPLACE(INDEX(GroupVertices[Group],MATCH("~"&amp;Edges[[#This Row],[Vertex 2]],GroupVertices[Vertex],0)),1,1,"")</f>
        <v>5</v>
      </c>
    </row>
    <row r="612" spans="1:32" ht="15">
      <c r="A612" s="66" t="s">
        <v>760</v>
      </c>
      <c r="B612" s="66" t="s">
        <v>906</v>
      </c>
      <c r="C612" s="67"/>
      <c r="D612" s="68"/>
      <c r="E612" s="69"/>
      <c r="F612" s="70"/>
      <c r="G612" s="67"/>
      <c r="H612" s="71"/>
      <c r="I612" s="72"/>
      <c r="J612" s="72"/>
      <c r="K612" s="35"/>
      <c r="L612" s="80">
        <v>612</v>
      </c>
      <c r="M612" s="80"/>
      <c r="N612" s="74"/>
      <c r="O612" s="82" t="s">
        <v>909</v>
      </c>
      <c r="P612" s="82" t="s">
        <v>197</v>
      </c>
      <c r="Q612" s="85" t="s">
        <v>1518</v>
      </c>
      <c r="R612" s="82" t="s">
        <v>760</v>
      </c>
      <c r="S612" s="82" t="s">
        <v>2226</v>
      </c>
      <c r="T612" s="87" t="str">
        <f>HYPERLINK("http://www.youtube.com/channel/UC94CJPg1KHK0hPwdp-3ueXw")</f>
        <v>http://www.youtube.com/channel/UC94CJPg1KHK0hPwdp-3ueXw</v>
      </c>
      <c r="U612" s="82"/>
      <c r="V612" s="82" t="s">
        <v>2374</v>
      </c>
      <c r="W612" s="87" t="str">
        <f t="shared" si="27"/>
        <v>https://www.youtube.com/watch?v=UVf2Yw7uFoE</v>
      </c>
      <c r="X612" s="82" t="s">
        <v>2384</v>
      </c>
      <c r="Y612" s="82">
        <v>0</v>
      </c>
      <c r="Z612" s="89">
        <v>45283.56730324074</v>
      </c>
      <c r="AA612" s="89">
        <v>45283.56730324074</v>
      </c>
      <c r="AB612" s="82"/>
      <c r="AC612" s="82"/>
      <c r="AD612" s="85" t="s">
        <v>2423</v>
      </c>
      <c r="AE612" s="84" t="str">
        <f>REPLACE(INDEX(GroupVertices[Group],MATCH("~"&amp;Edges[[#This Row],[Vertex 1]],GroupVertices[Vertex],0)),1,1,"")</f>
        <v>5</v>
      </c>
      <c r="AF612" s="84" t="str">
        <f>REPLACE(INDEX(GroupVertices[Group],MATCH("~"&amp;Edges[[#This Row],[Vertex 2]],GroupVertices[Vertex],0)),1,1,"")</f>
        <v>5</v>
      </c>
    </row>
    <row r="613" spans="1:32" ht="15">
      <c r="A613" s="66" t="s">
        <v>761</v>
      </c>
      <c r="B613" s="66" t="s">
        <v>906</v>
      </c>
      <c r="C613" s="67"/>
      <c r="D613" s="68"/>
      <c r="E613" s="69"/>
      <c r="F613" s="70"/>
      <c r="G613" s="67"/>
      <c r="H613" s="71"/>
      <c r="I613" s="72"/>
      <c r="J613" s="72"/>
      <c r="K613" s="35"/>
      <c r="L613" s="80">
        <v>613</v>
      </c>
      <c r="M613" s="80"/>
      <c r="N613" s="74"/>
      <c r="O613" s="82" t="s">
        <v>909</v>
      </c>
      <c r="P613" s="82" t="s">
        <v>197</v>
      </c>
      <c r="Q613" s="85" t="s">
        <v>1519</v>
      </c>
      <c r="R613" s="82" t="s">
        <v>761</v>
      </c>
      <c r="S613" s="82" t="s">
        <v>2227</v>
      </c>
      <c r="T613" s="87" t="str">
        <f>HYPERLINK("http://www.youtube.com/channel/UCLp8UE_LbCwUPPssjzWcszQ")</f>
        <v>http://www.youtube.com/channel/UCLp8UE_LbCwUPPssjzWcszQ</v>
      </c>
      <c r="U613" s="82"/>
      <c r="V613" s="82" t="s">
        <v>2374</v>
      </c>
      <c r="W613" s="87" t="str">
        <f t="shared" si="27"/>
        <v>https://www.youtube.com/watch?v=UVf2Yw7uFoE</v>
      </c>
      <c r="X613" s="82" t="s">
        <v>2384</v>
      </c>
      <c r="Y613" s="82">
        <v>0</v>
      </c>
      <c r="Z613" s="89">
        <v>45283.84929398148</v>
      </c>
      <c r="AA613" s="89">
        <v>45283.84929398148</v>
      </c>
      <c r="AB613" s="82"/>
      <c r="AC613" s="82"/>
      <c r="AD613" s="85" t="s">
        <v>2423</v>
      </c>
      <c r="AE613" s="84" t="str">
        <f>REPLACE(INDEX(GroupVertices[Group],MATCH("~"&amp;Edges[[#This Row],[Vertex 1]],GroupVertices[Vertex],0)),1,1,"")</f>
        <v>5</v>
      </c>
      <c r="AF613" s="84" t="str">
        <f>REPLACE(INDEX(GroupVertices[Group],MATCH("~"&amp;Edges[[#This Row],[Vertex 2]],GroupVertices[Vertex],0)),1,1,"")</f>
        <v>5</v>
      </c>
    </row>
    <row r="614" spans="1:32" ht="15">
      <c r="A614" s="66" t="s">
        <v>762</v>
      </c>
      <c r="B614" s="66" t="s">
        <v>906</v>
      </c>
      <c r="C614" s="67"/>
      <c r="D614" s="68"/>
      <c r="E614" s="69"/>
      <c r="F614" s="70"/>
      <c r="G614" s="67"/>
      <c r="H614" s="71"/>
      <c r="I614" s="72"/>
      <c r="J614" s="72"/>
      <c r="K614" s="35"/>
      <c r="L614" s="80">
        <v>614</v>
      </c>
      <c r="M614" s="80"/>
      <c r="N614" s="74"/>
      <c r="O614" s="82" t="s">
        <v>909</v>
      </c>
      <c r="P614" s="82" t="s">
        <v>197</v>
      </c>
      <c r="Q614" s="85" t="s">
        <v>1520</v>
      </c>
      <c r="R614" s="82" t="s">
        <v>762</v>
      </c>
      <c r="S614" s="82" t="s">
        <v>2228</v>
      </c>
      <c r="T614" s="87" t="str">
        <f>HYPERLINK("http://www.youtube.com/channel/UCCqW4ak5MDYgo2fbWS0I2-Q")</f>
        <v>http://www.youtube.com/channel/UCCqW4ak5MDYgo2fbWS0I2-Q</v>
      </c>
      <c r="U614" s="82"/>
      <c r="V614" s="82" t="s">
        <v>2374</v>
      </c>
      <c r="W614" s="87" t="str">
        <f t="shared" si="27"/>
        <v>https://www.youtube.com/watch?v=UVf2Yw7uFoE</v>
      </c>
      <c r="X614" s="82" t="s">
        <v>2384</v>
      </c>
      <c r="Y614" s="82">
        <v>0</v>
      </c>
      <c r="Z614" s="89">
        <v>45284.62321759259</v>
      </c>
      <c r="AA614" s="89">
        <v>45284.62321759259</v>
      </c>
      <c r="AB614" s="82"/>
      <c r="AC614" s="82"/>
      <c r="AD614" s="85" t="s">
        <v>2423</v>
      </c>
      <c r="AE614" s="84" t="str">
        <f>REPLACE(INDEX(GroupVertices[Group],MATCH("~"&amp;Edges[[#This Row],[Vertex 1]],GroupVertices[Vertex],0)),1,1,"")</f>
        <v>5</v>
      </c>
      <c r="AF614" s="84" t="str">
        <f>REPLACE(INDEX(GroupVertices[Group],MATCH("~"&amp;Edges[[#This Row],[Vertex 2]],GroupVertices[Vertex],0)),1,1,"")</f>
        <v>5</v>
      </c>
    </row>
    <row r="615" spans="1:32" ht="15">
      <c r="A615" s="66" t="s">
        <v>763</v>
      </c>
      <c r="B615" s="66" t="s">
        <v>906</v>
      </c>
      <c r="C615" s="67"/>
      <c r="D615" s="68"/>
      <c r="E615" s="69"/>
      <c r="F615" s="70"/>
      <c r="G615" s="67"/>
      <c r="H615" s="71"/>
      <c r="I615" s="72"/>
      <c r="J615" s="72"/>
      <c r="K615" s="35"/>
      <c r="L615" s="80">
        <v>615</v>
      </c>
      <c r="M615" s="80"/>
      <c r="N615" s="74"/>
      <c r="O615" s="82" t="s">
        <v>909</v>
      </c>
      <c r="P615" s="82" t="s">
        <v>197</v>
      </c>
      <c r="Q615" s="85" t="s">
        <v>1521</v>
      </c>
      <c r="R615" s="82" t="s">
        <v>763</v>
      </c>
      <c r="S615" s="82" t="s">
        <v>2229</v>
      </c>
      <c r="T615" s="87" t="str">
        <f>HYPERLINK("http://www.youtube.com/channel/UCmAy3H6p5-l1I4cf6r6c-fw")</f>
        <v>http://www.youtube.com/channel/UCmAy3H6p5-l1I4cf6r6c-fw</v>
      </c>
      <c r="U615" s="82"/>
      <c r="V615" s="82" t="s">
        <v>2374</v>
      </c>
      <c r="W615" s="87" t="str">
        <f t="shared" si="27"/>
        <v>https://www.youtube.com/watch?v=UVf2Yw7uFoE</v>
      </c>
      <c r="X615" s="82" t="s">
        <v>2384</v>
      </c>
      <c r="Y615" s="82">
        <v>0</v>
      </c>
      <c r="Z615" s="89">
        <v>45286.324166666665</v>
      </c>
      <c r="AA615" s="89">
        <v>45286.324166666665</v>
      </c>
      <c r="AB615" s="82"/>
      <c r="AC615" s="82"/>
      <c r="AD615" s="85" t="s">
        <v>2423</v>
      </c>
      <c r="AE615" s="84" t="str">
        <f>REPLACE(INDEX(GroupVertices[Group],MATCH("~"&amp;Edges[[#This Row],[Vertex 1]],GroupVertices[Vertex],0)),1,1,"")</f>
        <v>5</v>
      </c>
      <c r="AF615" s="84" t="str">
        <f>REPLACE(INDEX(GroupVertices[Group],MATCH("~"&amp;Edges[[#This Row],[Vertex 2]],GroupVertices[Vertex],0)),1,1,"")</f>
        <v>5</v>
      </c>
    </row>
    <row r="616" spans="1:32" ht="15">
      <c r="A616" s="66" t="s">
        <v>764</v>
      </c>
      <c r="B616" s="66" t="s">
        <v>906</v>
      </c>
      <c r="C616" s="67"/>
      <c r="D616" s="68"/>
      <c r="E616" s="69"/>
      <c r="F616" s="70"/>
      <c r="G616" s="67"/>
      <c r="H616" s="71"/>
      <c r="I616" s="72"/>
      <c r="J616" s="72"/>
      <c r="K616" s="35"/>
      <c r="L616" s="80">
        <v>616</v>
      </c>
      <c r="M616" s="80"/>
      <c r="N616" s="74"/>
      <c r="O616" s="82" t="s">
        <v>909</v>
      </c>
      <c r="P616" s="82" t="s">
        <v>197</v>
      </c>
      <c r="Q616" s="85" t="s">
        <v>1522</v>
      </c>
      <c r="R616" s="82" t="s">
        <v>764</v>
      </c>
      <c r="S616" s="82" t="s">
        <v>2230</v>
      </c>
      <c r="T616" s="87" t="str">
        <f>HYPERLINK("http://www.youtube.com/channel/UCkahcs8uASwEcKZ_BUmycXA")</f>
        <v>http://www.youtube.com/channel/UCkahcs8uASwEcKZ_BUmycXA</v>
      </c>
      <c r="U616" s="82"/>
      <c r="V616" s="82" t="s">
        <v>2374</v>
      </c>
      <c r="W616" s="87" t="str">
        <f t="shared" si="27"/>
        <v>https://www.youtube.com/watch?v=UVf2Yw7uFoE</v>
      </c>
      <c r="X616" s="82" t="s">
        <v>2384</v>
      </c>
      <c r="Y616" s="82">
        <v>0</v>
      </c>
      <c r="Z616" s="89">
        <v>45287.040185185186</v>
      </c>
      <c r="AA616" s="89">
        <v>45287.040185185186</v>
      </c>
      <c r="AB616" s="82"/>
      <c r="AC616" s="82"/>
      <c r="AD616" s="85" t="s">
        <v>2423</v>
      </c>
      <c r="AE616" s="84" t="str">
        <f>REPLACE(INDEX(GroupVertices[Group],MATCH("~"&amp;Edges[[#This Row],[Vertex 1]],GroupVertices[Vertex],0)),1,1,"")</f>
        <v>5</v>
      </c>
      <c r="AF616" s="84" t="str">
        <f>REPLACE(INDEX(GroupVertices[Group],MATCH("~"&amp;Edges[[#This Row],[Vertex 2]],GroupVertices[Vertex],0)),1,1,"")</f>
        <v>5</v>
      </c>
    </row>
    <row r="617" spans="1:32" ht="15">
      <c r="A617" s="66" t="s">
        <v>765</v>
      </c>
      <c r="B617" s="66" t="s">
        <v>906</v>
      </c>
      <c r="C617" s="67"/>
      <c r="D617" s="68"/>
      <c r="E617" s="69"/>
      <c r="F617" s="70"/>
      <c r="G617" s="67"/>
      <c r="H617" s="71"/>
      <c r="I617" s="72"/>
      <c r="J617" s="72"/>
      <c r="K617" s="35"/>
      <c r="L617" s="80">
        <v>617</v>
      </c>
      <c r="M617" s="80"/>
      <c r="N617" s="74"/>
      <c r="O617" s="82" t="s">
        <v>909</v>
      </c>
      <c r="P617" s="82" t="s">
        <v>197</v>
      </c>
      <c r="Q617" s="85" t="s">
        <v>1523</v>
      </c>
      <c r="R617" s="82" t="s">
        <v>765</v>
      </c>
      <c r="S617" s="82" t="s">
        <v>2231</v>
      </c>
      <c r="T617" s="87" t="str">
        <f>HYPERLINK("http://www.youtube.com/channel/UC62ynSxFPhzio1GovXEnwNg")</f>
        <v>http://www.youtube.com/channel/UC62ynSxFPhzio1GovXEnwNg</v>
      </c>
      <c r="U617" s="82"/>
      <c r="V617" s="82" t="s">
        <v>2374</v>
      </c>
      <c r="W617" s="87" t="str">
        <f t="shared" si="27"/>
        <v>https://www.youtube.com/watch?v=UVf2Yw7uFoE</v>
      </c>
      <c r="X617" s="82" t="s">
        <v>2384</v>
      </c>
      <c r="Y617" s="82">
        <v>0</v>
      </c>
      <c r="Z617" s="89">
        <v>45287.04288194444</v>
      </c>
      <c r="AA617" s="89">
        <v>45287.04288194444</v>
      </c>
      <c r="AB617" s="82"/>
      <c r="AC617" s="82"/>
      <c r="AD617" s="85" t="s">
        <v>2423</v>
      </c>
      <c r="AE617" s="84" t="str">
        <f>REPLACE(INDEX(GroupVertices[Group],MATCH("~"&amp;Edges[[#This Row],[Vertex 1]],GroupVertices[Vertex],0)),1,1,"")</f>
        <v>5</v>
      </c>
      <c r="AF617" s="84" t="str">
        <f>REPLACE(INDEX(GroupVertices[Group],MATCH("~"&amp;Edges[[#This Row],[Vertex 2]],GroupVertices[Vertex],0)),1,1,"")</f>
        <v>5</v>
      </c>
    </row>
    <row r="618" spans="1:32" ht="15">
      <c r="A618" s="66" t="s">
        <v>766</v>
      </c>
      <c r="B618" s="66" t="s">
        <v>906</v>
      </c>
      <c r="C618" s="67"/>
      <c r="D618" s="68"/>
      <c r="E618" s="69"/>
      <c r="F618" s="70"/>
      <c r="G618" s="67"/>
      <c r="H618" s="71"/>
      <c r="I618" s="72"/>
      <c r="J618" s="72"/>
      <c r="K618" s="35"/>
      <c r="L618" s="80">
        <v>618</v>
      </c>
      <c r="M618" s="80"/>
      <c r="N618" s="74"/>
      <c r="O618" s="82" t="s">
        <v>909</v>
      </c>
      <c r="P618" s="82" t="s">
        <v>197</v>
      </c>
      <c r="Q618" s="85" t="s">
        <v>1524</v>
      </c>
      <c r="R618" s="82" t="s">
        <v>766</v>
      </c>
      <c r="S618" s="82" t="s">
        <v>2232</v>
      </c>
      <c r="T618" s="87" t="str">
        <f>HYPERLINK("http://www.youtube.com/channel/UCPhDXTMhUwn2WMA5dCa2ohA")</f>
        <v>http://www.youtube.com/channel/UCPhDXTMhUwn2WMA5dCa2ohA</v>
      </c>
      <c r="U618" s="82"/>
      <c r="V618" s="82" t="s">
        <v>2374</v>
      </c>
      <c r="W618" s="87" t="str">
        <f t="shared" si="27"/>
        <v>https://www.youtube.com/watch?v=UVf2Yw7uFoE</v>
      </c>
      <c r="X618" s="82" t="s">
        <v>2384</v>
      </c>
      <c r="Y618" s="82">
        <v>0</v>
      </c>
      <c r="Z618" s="89">
        <v>45287.878113425926</v>
      </c>
      <c r="AA618" s="89">
        <v>45287.878703703704</v>
      </c>
      <c r="AB618" s="82"/>
      <c r="AC618" s="82"/>
      <c r="AD618" s="85" t="s">
        <v>2423</v>
      </c>
      <c r="AE618" s="84" t="str">
        <f>REPLACE(INDEX(GroupVertices[Group],MATCH("~"&amp;Edges[[#This Row],[Vertex 1]],GroupVertices[Vertex],0)),1,1,"")</f>
        <v>5</v>
      </c>
      <c r="AF618" s="84" t="str">
        <f>REPLACE(INDEX(GroupVertices[Group],MATCH("~"&amp;Edges[[#This Row],[Vertex 2]],GroupVertices[Vertex],0)),1,1,"")</f>
        <v>5</v>
      </c>
    </row>
    <row r="619" spans="1:32" ht="15">
      <c r="A619" s="66" t="s">
        <v>767</v>
      </c>
      <c r="B619" s="66" t="s">
        <v>906</v>
      </c>
      <c r="C619" s="67"/>
      <c r="D619" s="68"/>
      <c r="E619" s="69"/>
      <c r="F619" s="70"/>
      <c r="G619" s="67"/>
      <c r="H619" s="71"/>
      <c r="I619" s="72"/>
      <c r="J619" s="72"/>
      <c r="K619" s="35"/>
      <c r="L619" s="80">
        <v>619</v>
      </c>
      <c r="M619" s="80"/>
      <c r="N619" s="74"/>
      <c r="O619" s="82" t="s">
        <v>909</v>
      </c>
      <c r="P619" s="82" t="s">
        <v>197</v>
      </c>
      <c r="Q619" s="85" t="s">
        <v>1525</v>
      </c>
      <c r="R619" s="82" t="s">
        <v>767</v>
      </c>
      <c r="S619" s="82" t="s">
        <v>2233</v>
      </c>
      <c r="T619" s="87" t="str">
        <f>HYPERLINK("http://www.youtube.com/channel/UCKkJjs7WWG25fYJOse62Fww")</f>
        <v>http://www.youtube.com/channel/UCKkJjs7WWG25fYJOse62Fww</v>
      </c>
      <c r="U619" s="82"/>
      <c r="V619" s="82" t="s">
        <v>2374</v>
      </c>
      <c r="W619" s="87" t="str">
        <f t="shared" si="27"/>
        <v>https://www.youtube.com/watch?v=UVf2Yw7uFoE</v>
      </c>
      <c r="X619" s="82" t="s">
        <v>2384</v>
      </c>
      <c r="Y619" s="82">
        <v>0</v>
      </c>
      <c r="Z619" s="89">
        <v>45288.391377314816</v>
      </c>
      <c r="AA619" s="89">
        <v>45288.391377314816</v>
      </c>
      <c r="AB619" s="82"/>
      <c r="AC619" s="82"/>
      <c r="AD619" s="85" t="s">
        <v>2423</v>
      </c>
      <c r="AE619" s="84" t="str">
        <f>REPLACE(INDEX(GroupVertices[Group],MATCH("~"&amp;Edges[[#This Row],[Vertex 1]],GroupVertices[Vertex],0)),1,1,"")</f>
        <v>5</v>
      </c>
      <c r="AF619" s="84" t="str">
        <f>REPLACE(INDEX(GroupVertices[Group],MATCH("~"&amp;Edges[[#This Row],[Vertex 2]],GroupVertices[Vertex],0)),1,1,"")</f>
        <v>5</v>
      </c>
    </row>
    <row r="620" spans="1:32" ht="15">
      <c r="A620" s="66" t="s">
        <v>768</v>
      </c>
      <c r="B620" s="66" t="s">
        <v>906</v>
      </c>
      <c r="C620" s="67"/>
      <c r="D620" s="68"/>
      <c r="E620" s="69"/>
      <c r="F620" s="70"/>
      <c r="G620" s="67"/>
      <c r="H620" s="71"/>
      <c r="I620" s="72"/>
      <c r="J620" s="72"/>
      <c r="K620" s="35"/>
      <c r="L620" s="80">
        <v>620</v>
      </c>
      <c r="M620" s="80"/>
      <c r="N620" s="74"/>
      <c r="O620" s="82" t="s">
        <v>909</v>
      </c>
      <c r="P620" s="82" t="s">
        <v>197</v>
      </c>
      <c r="Q620" s="85" t="s">
        <v>1526</v>
      </c>
      <c r="R620" s="82" t="s">
        <v>768</v>
      </c>
      <c r="S620" s="82" t="s">
        <v>2234</v>
      </c>
      <c r="T620" s="87" t="str">
        <f>HYPERLINK("http://www.youtube.com/channel/UCt4EDc5-eCtnbIBf3IvOR2w")</f>
        <v>http://www.youtube.com/channel/UCt4EDc5-eCtnbIBf3IvOR2w</v>
      </c>
      <c r="U620" s="82"/>
      <c r="V620" s="82" t="s">
        <v>2374</v>
      </c>
      <c r="W620" s="87" t="str">
        <f t="shared" si="27"/>
        <v>https://www.youtube.com/watch?v=UVf2Yw7uFoE</v>
      </c>
      <c r="X620" s="82" t="s">
        <v>2384</v>
      </c>
      <c r="Y620" s="82">
        <v>1</v>
      </c>
      <c r="Z620" s="89">
        <v>45290.13990740741</v>
      </c>
      <c r="AA620" s="89">
        <v>45290.13990740741</v>
      </c>
      <c r="AB620" s="82"/>
      <c r="AC620" s="82"/>
      <c r="AD620" s="85" t="s">
        <v>2423</v>
      </c>
      <c r="AE620" s="84" t="str">
        <f>REPLACE(INDEX(GroupVertices[Group],MATCH("~"&amp;Edges[[#This Row],[Vertex 1]],GroupVertices[Vertex],0)),1,1,"")</f>
        <v>5</v>
      </c>
      <c r="AF620" s="84" t="str">
        <f>REPLACE(INDEX(GroupVertices[Group],MATCH("~"&amp;Edges[[#This Row],[Vertex 2]],GroupVertices[Vertex],0)),1,1,"")</f>
        <v>5</v>
      </c>
    </row>
    <row r="621" spans="1:32" ht="15">
      <c r="A621" s="66" t="s">
        <v>769</v>
      </c>
      <c r="B621" s="66" t="s">
        <v>901</v>
      </c>
      <c r="C621" s="67"/>
      <c r="D621" s="68"/>
      <c r="E621" s="69"/>
      <c r="F621" s="70"/>
      <c r="G621" s="67"/>
      <c r="H621" s="71"/>
      <c r="I621" s="72"/>
      <c r="J621" s="72"/>
      <c r="K621" s="35"/>
      <c r="L621" s="80">
        <v>621</v>
      </c>
      <c r="M621" s="80"/>
      <c r="N621" s="74"/>
      <c r="O621" s="82" t="s">
        <v>909</v>
      </c>
      <c r="P621" s="82" t="s">
        <v>197</v>
      </c>
      <c r="Q621" s="85" t="s">
        <v>1527</v>
      </c>
      <c r="R621" s="82" t="s">
        <v>769</v>
      </c>
      <c r="S621" s="82" t="s">
        <v>2235</v>
      </c>
      <c r="T621" s="87" t="str">
        <f>HYPERLINK("http://www.youtube.com/channel/UCQ-ZrKnCUeBsIizJU84cu5g")</f>
        <v>http://www.youtube.com/channel/UCQ-ZrKnCUeBsIizJU84cu5g</v>
      </c>
      <c r="U621" s="82"/>
      <c r="V621" s="82" t="s">
        <v>2368</v>
      </c>
      <c r="W621" s="87" t="str">
        <f>HYPERLINK("https://www.youtube.com/watch?v=gLvkWpnzba8")</f>
        <v>https://www.youtube.com/watch?v=gLvkWpnzba8</v>
      </c>
      <c r="X621" s="82" t="s">
        <v>2384</v>
      </c>
      <c r="Y621" s="82">
        <v>1</v>
      </c>
      <c r="Z621" s="89">
        <v>45286.37737268519</v>
      </c>
      <c r="AA621" s="89">
        <v>45286.37737268519</v>
      </c>
      <c r="AB621" s="82"/>
      <c r="AC621" s="82"/>
      <c r="AD621" s="85" t="s">
        <v>2423</v>
      </c>
      <c r="AE621" s="84" t="str">
        <f>REPLACE(INDEX(GroupVertices[Group],MATCH("~"&amp;Edges[[#This Row],[Vertex 1]],GroupVertices[Vertex],0)),1,1,"")</f>
        <v>5</v>
      </c>
      <c r="AF621" s="84" t="str">
        <f>REPLACE(INDEX(GroupVertices[Group],MATCH("~"&amp;Edges[[#This Row],[Vertex 2]],GroupVertices[Vertex],0)),1,1,"")</f>
        <v>6</v>
      </c>
    </row>
    <row r="622" spans="1:32" ht="15">
      <c r="A622" s="66" t="s">
        <v>769</v>
      </c>
      <c r="B622" s="66" t="s">
        <v>906</v>
      </c>
      <c r="C622" s="67"/>
      <c r="D622" s="68"/>
      <c r="E622" s="69"/>
      <c r="F622" s="70"/>
      <c r="G622" s="67"/>
      <c r="H622" s="71"/>
      <c r="I622" s="72"/>
      <c r="J622" s="72"/>
      <c r="K622" s="35"/>
      <c r="L622" s="80">
        <v>622</v>
      </c>
      <c r="M622" s="80"/>
      <c r="N622" s="74"/>
      <c r="O622" s="82" t="s">
        <v>909</v>
      </c>
      <c r="P622" s="82" t="s">
        <v>197</v>
      </c>
      <c r="Q622" s="85" t="s">
        <v>1528</v>
      </c>
      <c r="R622" s="82" t="s">
        <v>769</v>
      </c>
      <c r="S622" s="82" t="s">
        <v>2235</v>
      </c>
      <c r="T622" s="87" t="str">
        <f>HYPERLINK("http://www.youtube.com/channel/UCQ-ZrKnCUeBsIizJU84cu5g")</f>
        <v>http://www.youtube.com/channel/UCQ-ZrKnCUeBsIizJU84cu5g</v>
      </c>
      <c r="U622" s="82"/>
      <c r="V622" s="82" t="s">
        <v>2374</v>
      </c>
      <c r="W622" s="87" t="str">
        <f aca="true" t="shared" si="28" ref="W622:W645">HYPERLINK("https://www.youtube.com/watch?v=UVf2Yw7uFoE")</f>
        <v>https://www.youtube.com/watch?v=UVf2Yw7uFoE</v>
      </c>
      <c r="X622" s="82" t="s">
        <v>2384</v>
      </c>
      <c r="Y622" s="82">
        <v>0</v>
      </c>
      <c r="Z622" s="89">
        <v>45290.79928240741</v>
      </c>
      <c r="AA622" s="89">
        <v>45290.79928240741</v>
      </c>
      <c r="AB622" s="82"/>
      <c r="AC622" s="82"/>
      <c r="AD622" s="85" t="s">
        <v>2423</v>
      </c>
      <c r="AE622" s="84" t="str">
        <f>REPLACE(INDEX(GroupVertices[Group],MATCH("~"&amp;Edges[[#This Row],[Vertex 1]],GroupVertices[Vertex],0)),1,1,"")</f>
        <v>5</v>
      </c>
      <c r="AF622" s="84" t="str">
        <f>REPLACE(INDEX(GroupVertices[Group],MATCH("~"&amp;Edges[[#This Row],[Vertex 2]],GroupVertices[Vertex],0)),1,1,"")</f>
        <v>5</v>
      </c>
    </row>
    <row r="623" spans="1:32" ht="15">
      <c r="A623" s="66" t="s">
        <v>770</v>
      </c>
      <c r="B623" s="66" t="s">
        <v>906</v>
      </c>
      <c r="C623" s="67"/>
      <c r="D623" s="68"/>
      <c r="E623" s="69"/>
      <c r="F623" s="70"/>
      <c r="G623" s="67"/>
      <c r="H623" s="71"/>
      <c r="I623" s="72"/>
      <c r="J623" s="72"/>
      <c r="K623" s="35"/>
      <c r="L623" s="80">
        <v>623</v>
      </c>
      <c r="M623" s="80"/>
      <c r="N623" s="74"/>
      <c r="O623" s="82" t="s">
        <v>909</v>
      </c>
      <c r="P623" s="82" t="s">
        <v>197</v>
      </c>
      <c r="Q623" s="85" t="s">
        <v>1529</v>
      </c>
      <c r="R623" s="82" t="s">
        <v>770</v>
      </c>
      <c r="S623" s="82" t="s">
        <v>2236</v>
      </c>
      <c r="T623" s="87" t="str">
        <f>HYPERLINK("http://www.youtube.com/channel/UCDN8QulDooiWplmXb5DMeuQ")</f>
        <v>http://www.youtube.com/channel/UCDN8QulDooiWplmXb5DMeuQ</v>
      </c>
      <c r="U623" s="82"/>
      <c r="V623" s="82" t="s">
        <v>2374</v>
      </c>
      <c r="W623" s="87" t="str">
        <f t="shared" si="28"/>
        <v>https://www.youtube.com/watch?v=UVf2Yw7uFoE</v>
      </c>
      <c r="X623" s="82" t="s">
        <v>2384</v>
      </c>
      <c r="Y623" s="82">
        <v>0</v>
      </c>
      <c r="Z623" s="89">
        <v>45291.03171296296</v>
      </c>
      <c r="AA623" s="89">
        <v>45291.03171296296</v>
      </c>
      <c r="AB623" s="82"/>
      <c r="AC623" s="82"/>
      <c r="AD623" s="85" t="s">
        <v>2423</v>
      </c>
      <c r="AE623" s="84" t="str">
        <f>REPLACE(INDEX(GroupVertices[Group],MATCH("~"&amp;Edges[[#This Row],[Vertex 1]],GroupVertices[Vertex],0)),1,1,"")</f>
        <v>5</v>
      </c>
      <c r="AF623" s="84" t="str">
        <f>REPLACE(INDEX(GroupVertices[Group],MATCH("~"&amp;Edges[[#This Row],[Vertex 2]],GroupVertices[Vertex],0)),1,1,"")</f>
        <v>5</v>
      </c>
    </row>
    <row r="624" spans="1:32" ht="15">
      <c r="A624" s="66" t="s">
        <v>771</v>
      </c>
      <c r="B624" s="66" t="s">
        <v>906</v>
      </c>
      <c r="C624" s="67"/>
      <c r="D624" s="68"/>
      <c r="E624" s="69"/>
      <c r="F624" s="70"/>
      <c r="G624" s="67"/>
      <c r="H624" s="71"/>
      <c r="I624" s="72"/>
      <c r="J624" s="72"/>
      <c r="K624" s="35"/>
      <c r="L624" s="80">
        <v>624</v>
      </c>
      <c r="M624" s="80"/>
      <c r="N624" s="74"/>
      <c r="O624" s="82" t="s">
        <v>909</v>
      </c>
      <c r="P624" s="82" t="s">
        <v>197</v>
      </c>
      <c r="Q624" s="85" t="s">
        <v>1530</v>
      </c>
      <c r="R624" s="82" t="s">
        <v>771</v>
      </c>
      <c r="S624" s="82" t="s">
        <v>2237</v>
      </c>
      <c r="T624" s="87" t="str">
        <f>HYPERLINK("http://www.youtube.com/channel/UC-ay-w_anmeEXq_OrHw0BwQ")</f>
        <v>http://www.youtube.com/channel/UC-ay-w_anmeEXq_OrHw0BwQ</v>
      </c>
      <c r="U624" s="82"/>
      <c r="V624" s="82" t="s">
        <v>2374</v>
      </c>
      <c r="W624" s="87" t="str">
        <f t="shared" si="28"/>
        <v>https://www.youtube.com/watch?v=UVf2Yw7uFoE</v>
      </c>
      <c r="X624" s="82" t="s">
        <v>2384</v>
      </c>
      <c r="Y624" s="82">
        <v>0</v>
      </c>
      <c r="Z624" s="89">
        <v>45291.49159722222</v>
      </c>
      <c r="AA624" s="89">
        <v>45291.49159722222</v>
      </c>
      <c r="AB624" s="82"/>
      <c r="AC624" s="82"/>
      <c r="AD624" s="85" t="s">
        <v>2423</v>
      </c>
      <c r="AE624" s="84" t="str">
        <f>REPLACE(INDEX(GroupVertices[Group],MATCH("~"&amp;Edges[[#This Row],[Vertex 1]],GroupVertices[Vertex],0)),1,1,"")</f>
        <v>5</v>
      </c>
      <c r="AF624" s="84" t="str">
        <f>REPLACE(INDEX(GroupVertices[Group],MATCH("~"&amp;Edges[[#This Row],[Vertex 2]],GroupVertices[Vertex],0)),1,1,"")</f>
        <v>5</v>
      </c>
    </row>
    <row r="625" spans="1:32" ht="15">
      <c r="A625" s="66" t="s">
        <v>772</v>
      </c>
      <c r="B625" s="66" t="s">
        <v>906</v>
      </c>
      <c r="C625" s="67"/>
      <c r="D625" s="68"/>
      <c r="E625" s="69"/>
      <c r="F625" s="70"/>
      <c r="G625" s="67"/>
      <c r="H625" s="71"/>
      <c r="I625" s="72"/>
      <c r="J625" s="72"/>
      <c r="K625" s="35"/>
      <c r="L625" s="80">
        <v>625</v>
      </c>
      <c r="M625" s="80"/>
      <c r="N625" s="74"/>
      <c r="O625" s="82" t="s">
        <v>909</v>
      </c>
      <c r="P625" s="82" t="s">
        <v>197</v>
      </c>
      <c r="Q625" s="85" t="s">
        <v>1531</v>
      </c>
      <c r="R625" s="82" t="s">
        <v>772</v>
      </c>
      <c r="S625" s="82" t="s">
        <v>2238</v>
      </c>
      <c r="T625" s="87" t="str">
        <f>HYPERLINK("http://www.youtube.com/channel/UCjyyEyMWbuLEZc9g_G6rEZQ")</f>
        <v>http://www.youtube.com/channel/UCjyyEyMWbuLEZc9g_G6rEZQ</v>
      </c>
      <c r="U625" s="82"/>
      <c r="V625" s="82" t="s">
        <v>2374</v>
      </c>
      <c r="W625" s="87" t="str">
        <f t="shared" si="28"/>
        <v>https://www.youtube.com/watch?v=UVf2Yw7uFoE</v>
      </c>
      <c r="X625" s="82" t="s">
        <v>2384</v>
      </c>
      <c r="Y625" s="82">
        <v>0</v>
      </c>
      <c r="Z625" s="89">
        <v>45291.637870370374</v>
      </c>
      <c r="AA625" s="89">
        <v>45291.637870370374</v>
      </c>
      <c r="AB625" s="82"/>
      <c r="AC625" s="82"/>
      <c r="AD625" s="85" t="s">
        <v>2423</v>
      </c>
      <c r="AE625" s="84" t="str">
        <f>REPLACE(INDEX(GroupVertices[Group],MATCH("~"&amp;Edges[[#This Row],[Vertex 1]],GroupVertices[Vertex],0)),1,1,"")</f>
        <v>5</v>
      </c>
      <c r="AF625" s="84" t="str">
        <f>REPLACE(INDEX(GroupVertices[Group],MATCH("~"&amp;Edges[[#This Row],[Vertex 2]],GroupVertices[Vertex],0)),1,1,"")</f>
        <v>5</v>
      </c>
    </row>
    <row r="626" spans="1:32" ht="15">
      <c r="A626" s="66" t="s">
        <v>773</v>
      </c>
      <c r="B626" s="66" t="s">
        <v>906</v>
      </c>
      <c r="C626" s="67"/>
      <c r="D626" s="68"/>
      <c r="E626" s="69"/>
      <c r="F626" s="70"/>
      <c r="G626" s="67"/>
      <c r="H626" s="71"/>
      <c r="I626" s="72"/>
      <c r="J626" s="72"/>
      <c r="K626" s="35"/>
      <c r="L626" s="80">
        <v>626</v>
      </c>
      <c r="M626" s="80"/>
      <c r="N626" s="74"/>
      <c r="O626" s="82" t="s">
        <v>909</v>
      </c>
      <c r="P626" s="82" t="s">
        <v>197</v>
      </c>
      <c r="Q626" s="85" t="s">
        <v>1532</v>
      </c>
      <c r="R626" s="82" t="s">
        <v>773</v>
      </c>
      <c r="S626" s="82" t="s">
        <v>2239</v>
      </c>
      <c r="T626" s="87" t="str">
        <f>HYPERLINK("http://www.youtube.com/channel/UCxpfch7Fchl-zAMh5rAVM5Q")</f>
        <v>http://www.youtube.com/channel/UCxpfch7Fchl-zAMh5rAVM5Q</v>
      </c>
      <c r="U626" s="82"/>
      <c r="V626" s="82" t="s">
        <v>2374</v>
      </c>
      <c r="W626" s="87" t="str">
        <f t="shared" si="28"/>
        <v>https://www.youtube.com/watch?v=UVf2Yw7uFoE</v>
      </c>
      <c r="X626" s="82" t="s">
        <v>2384</v>
      </c>
      <c r="Y626" s="82">
        <v>0</v>
      </c>
      <c r="Z626" s="89">
        <v>45291.666550925926</v>
      </c>
      <c r="AA626" s="89">
        <v>45291.666550925926</v>
      </c>
      <c r="AB626" s="82"/>
      <c r="AC626" s="82"/>
      <c r="AD626" s="85" t="s">
        <v>2423</v>
      </c>
      <c r="AE626" s="84" t="str">
        <f>REPLACE(INDEX(GroupVertices[Group],MATCH("~"&amp;Edges[[#This Row],[Vertex 1]],GroupVertices[Vertex],0)),1,1,"")</f>
        <v>5</v>
      </c>
      <c r="AF626" s="84" t="str">
        <f>REPLACE(INDEX(GroupVertices[Group],MATCH("~"&amp;Edges[[#This Row],[Vertex 2]],GroupVertices[Vertex],0)),1,1,"")</f>
        <v>5</v>
      </c>
    </row>
    <row r="627" spans="1:32" ht="15">
      <c r="A627" s="66" t="s">
        <v>774</v>
      </c>
      <c r="B627" s="66" t="s">
        <v>906</v>
      </c>
      <c r="C627" s="67"/>
      <c r="D627" s="68"/>
      <c r="E627" s="69"/>
      <c r="F627" s="70"/>
      <c r="G627" s="67"/>
      <c r="H627" s="71"/>
      <c r="I627" s="72"/>
      <c r="J627" s="72"/>
      <c r="K627" s="35"/>
      <c r="L627" s="80">
        <v>627</v>
      </c>
      <c r="M627" s="80"/>
      <c r="N627" s="74"/>
      <c r="O627" s="82" t="s">
        <v>909</v>
      </c>
      <c r="P627" s="82" t="s">
        <v>197</v>
      </c>
      <c r="Q627" s="85" t="s">
        <v>1533</v>
      </c>
      <c r="R627" s="82" t="s">
        <v>774</v>
      </c>
      <c r="S627" s="82" t="s">
        <v>2240</v>
      </c>
      <c r="T627" s="87" t="str">
        <f>HYPERLINK("http://www.youtube.com/channel/UCetrVcySporiw95-lZcscBw")</f>
        <v>http://www.youtube.com/channel/UCetrVcySporiw95-lZcscBw</v>
      </c>
      <c r="U627" s="82"/>
      <c r="V627" s="82" t="s">
        <v>2374</v>
      </c>
      <c r="W627" s="87" t="str">
        <f t="shared" si="28"/>
        <v>https://www.youtube.com/watch?v=UVf2Yw7uFoE</v>
      </c>
      <c r="X627" s="82" t="s">
        <v>2384</v>
      </c>
      <c r="Y627" s="82">
        <v>0</v>
      </c>
      <c r="Z627" s="89">
        <v>45291.709756944445</v>
      </c>
      <c r="AA627" s="89">
        <v>45291.709756944445</v>
      </c>
      <c r="AB627" s="82"/>
      <c r="AC627" s="82"/>
      <c r="AD627" s="85" t="s">
        <v>2423</v>
      </c>
      <c r="AE627" s="84" t="str">
        <f>REPLACE(INDEX(GroupVertices[Group],MATCH("~"&amp;Edges[[#This Row],[Vertex 1]],GroupVertices[Vertex],0)),1,1,"")</f>
        <v>5</v>
      </c>
      <c r="AF627" s="84" t="str">
        <f>REPLACE(INDEX(GroupVertices[Group],MATCH("~"&amp;Edges[[#This Row],[Vertex 2]],GroupVertices[Vertex],0)),1,1,"")</f>
        <v>5</v>
      </c>
    </row>
    <row r="628" spans="1:32" ht="15">
      <c r="A628" s="66" t="s">
        <v>775</v>
      </c>
      <c r="B628" s="66" t="s">
        <v>906</v>
      </c>
      <c r="C628" s="67"/>
      <c r="D628" s="68"/>
      <c r="E628" s="69"/>
      <c r="F628" s="70"/>
      <c r="G628" s="67"/>
      <c r="H628" s="71"/>
      <c r="I628" s="72"/>
      <c r="J628" s="72"/>
      <c r="K628" s="35"/>
      <c r="L628" s="80">
        <v>628</v>
      </c>
      <c r="M628" s="80"/>
      <c r="N628" s="74"/>
      <c r="O628" s="82" t="s">
        <v>909</v>
      </c>
      <c r="P628" s="82" t="s">
        <v>197</v>
      </c>
      <c r="Q628" s="85" t="s">
        <v>1534</v>
      </c>
      <c r="R628" s="82" t="s">
        <v>775</v>
      </c>
      <c r="S628" s="82" t="s">
        <v>2241</v>
      </c>
      <c r="T628" s="87" t="str">
        <f>HYPERLINK("http://www.youtube.com/channel/UC0eok-DkRRlQQNdnDkuQPEg")</f>
        <v>http://www.youtube.com/channel/UC0eok-DkRRlQQNdnDkuQPEg</v>
      </c>
      <c r="U628" s="82"/>
      <c r="V628" s="82" t="s">
        <v>2374</v>
      </c>
      <c r="W628" s="87" t="str">
        <f t="shared" si="28"/>
        <v>https://www.youtube.com/watch?v=UVf2Yw7uFoE</v>
      </c>
      <c r="X628" s="82" t="s">
        <v>2384</v>
      </c>
      <c r="Y628" s="82">
        <v>0</v>
      </c>
      <c r="Z628" s="89">
        <v>45292.204976851855</v>
      </c>
      <c r="AA628" s="89">
        <v>45292.204976851855</v>
      </c>
      <c r="AB628" s="82"/>
      <c r="AC628" s="82"/>
      <c r="AD628" s="85" t="s">
        <v>2423</v>
      </c>
      <c r="AE628" s="84" t="str">
        <f>REPLACE(INDEX(GroupVertices[Group],MATCH("~"&amp;Edges[[#This Row],[Vertex 1]],GroupVertices[Vertex],0)),1,1,"")</f>
        <v>5</v>
      </c>
      <c r="AF628" s="84" t="str">
        <f>REPLACE(INDEX(GroupVertices[Group],MATCH("~"&amp;Edges[[#This Row],[Vertex 2]],GroupVertices[Vertex],0)),1,1,"")</f>
        <v>5</v>
      </c>
    </row>
    <row r="629" spans="1:32" ht="15">
      <c r="A629" s="66" t="s">
        <v>776</v>
      </c>
      <c r="B629" s="66" t="s">
        <v>906</v>
      </c>
      <c r="C629" s="67"/>
      <c r="D629" s="68"/>
      <c r="E629" s="69"/>
      <c r="F629" s="70"/>
      <c r="G629" s="67"/>
      <c r="H629" s="71"/>
      <c r="I629" s="72"/>
      <c r="J629" s="72"/>
      <c r="K629" s="35"/>
      <c r="L629" s="80">
        <v>629</v>
      </c>
      <c r="M629" s="80"/>
      <c r="N629" s="74"/>
      <c r="O629" s="82" t="s">
        <v>909</v>
      </c>
      <c r="P629" s="82" t="s">
        <v>197</v>
      </c>
      <c r="Q629" s="85" t="s">
        <v>1535</v>
      </c>
      <c r="R629" s="82" t="s">
        <v>776</v>
      </c>
      <c r="S629" s="82" t="s">
        <v>2242</v>
      </c>
      <c r="T629" s="87" t="str">
        <f>HYPERLINK("http://www.youtube.com/channel/UCfnlhyiNcbASko1Oa82CGsg")</f>
        <v>http://www.youtube.com/channel/UCfnlhyiNcbASko1Oa82CGsg</v>
      </c>
      <c r="U629" s="82"/>
      <c r="V629" s="82" t="s">
        <v>2374</v>
      </c>
      <c r="W629" s="87" t="str">
        <f t="shared" si="28"/>
        <v>https://www.youtube.com/watch?v=UVf2Yw7uFoE</v>
      </c>
      <c r="X629" s="82" t="s">
        <v>2384</v>
      </c>
      <c r="Y629" s="82">
        <v>0</v>
      </c>
      <c r="Z629" s="89">
        <v>45292.21712962963</v>
      </c>
      <c r="AA629" s="89">
        <v>45292.21712962963</v>
      </c>
      <c r="AB629" s="82"/>
      <c r="AC629" s="82"/>
      <c r="AD629" s="85" t="s">
        <v>2423</v>
      </c>
      <c r="AE629" s="84" t="str">
        <f>REPLACE(INDEX(GroupVertices[Group],MATCH("~"&amp;Edges[[#This Row],[Vertex 1]],GroupVertices[Vertex],0)),1,1,"")</f>
        <v>5</v>
      </c>
      <c r="AF629" s="84" t="str">
        <f>REPLACE(INDEX(GroupVertices[Group],MATCH("~"&amp;Edges[[#This Row],[Vertex 2]],GroupVertices[Vertex],0)),1,1,"")</f>
        <v>5</v>
      </c>
    </row>
    <row r="630" spans="1:32" ht="15">
      <c r="A630" s="66" t="s">
        <v>777</v>
      </c>
      <c r="B630" s="66" t="s">
        <v>906</v>
      </c>
      <c r="C630" s="67"/>
      <c r="D630" s="68"/>
      <c r="E630" s="69"/>
      <c r="F630" s="70"/>
      <c r="G630" s="67"/>
      <c r="H630" s="71"/>
      <c r="I630" s="72"/>
      <c r="J630" s="72"/>
      <c r="K630" s="35"/>
      <c r="L630" s="80">
        <v>630</v>
      </c>
      <c r="M630" s="80"/>
      <c r="N630" s="74"/>
      <c r="O630" s="82" t="s">
        <v>909</v>
      </c>
      <c r="P630" s="82" t="s">
        <v>197</v>
      </c>
      <c r="Q630" s="85" t="s">
        <v>1536</v>
      </c>
      <c r="R630" s="82" t="s">
        <v>777</v>
      </c>
      <c r="S630" s="82" t="s">
        <v>2243</v>
      </c>
      <c r="T630" s="87" t="str">
        <f>HYPERLINK("http://www.youtube.com/channel/UCK0k5cwsno8L-CdWrYzLGUQ")</f>
        <v>http://www.youtube.com/channel/UCK0k5cwsno8L-CdWrYzLGUQ</v>
      </c>
      <c r="U630" s="82"/>
      <c r="V630" s="82" t="s">
        <v>2374</v>
      </c>
      <c r="W630" s="87" t="str">
        <f t="shared" si="28"/>
        <v>https://www.youtube.com/watch?v=UVf2Yw7uFoE</v>
      </c>
      <c r="X630" s="82" t="s">
        <v>2384</v>
      </c>
      <c r="Y630" s="82">
        <v>0</v>
      </c>
      <c r="Z630" s="89">
        <v>45292.255324074074</v>
      </c>
      <c r="AA630" s="89">
        <v>45292.255324074074</v>
      </c>
      <c r="AB630" s="82"/>
      <c r="AC630" s="82"/>
      <c r="AD630" s="85" t="s">
        <v>2423</v>
      </c>
      <c r="AE630" s="84" t="str">
        <f>REPLACE(INDEX(GroupVertices[Group],MATCH("~"&amp;Edges[[#This Row],[Vertex 1]],GroupVertices[Vertex],0)),1,1,"")</f>
        <v>5</v>
      </c>
      <c r="AF630" s="84" t="str">
        <f>REPLACE(INDEX(GroupVertices[Group],MATCH("~"&amp;Edges[[#This Row],[Vertex 2]],GroupVertices[Vertex],0)),1,1,"")</f>
        <v>5</v>
      </c>
    </row>
    <row r="631" spans="1:32" ht="15">
      <c r="A631" s="66" t="s">
        <v>778</v>
      </c>
      <c r="B631" s="66" t="s">
        <v>906</v>
      </c>
      <c r="C631" s="67"/>
      <c r="D631" s="68"/>
      <c r="E631" s="69"/>
      <c r="F631" s="70"/>
      <c r="G631" s="67"/>
      <c r="H631" s="71"/>
      <c r="I631" s="72"/>
      <c r="J631" s="72"/>
      <c r="K631" s="35"/>
      <c r="L631" s="80">
        <v>631</v>
      </c>
      <c r="M631" s="80"/>
      <c r="N631" s="74"/>
      <c r="O631" s="82" t="s">
        <v>909</v>
      </c>
      <c r="P631" s="82" t="s">
        <v>197</v>
      </c>
      <c r="Q631" s="85" t="s">
        <v>1537</v>
      </c>
      <c r="R631" s="82" t="s">
        <v>778</v>
      </c>
      <c r="S631" s="82" t="s">
        <v>2244</v>
      </c>
      <c r="T631" s="87" t="str">
        <f>HYPERLINK("http://www.youtube.com/channel/UCV1vB5gxsm_-mVjrk3n8ssg")</f>
        <v>http://www.youtube.com/channel/UCV1vB5gxsm_-mVjrk3n8ssg</v>
      </c>
      <c r="U631" s="82"/>
      <c r="V631" s="82" t="s">
        <v>2374</v>
      </c>
      <c r="W631" s="87" t="str">
        <f t="shared" si="28"/>
        <v>https://www.youtube.com/watch?v=UVf2Yw7uFoE</v>
      </c>
      <c r="X631" s="82" t="s">
        <v>2384</v>
      </c>
      <c r="Y631" s="82">
        <v>0</v>
      </c>
      <c r="Z631" s="89">
        <v>45292.86802083333</v>
      </c>
      <c r="AA631" s="89">
        <v>45292.86802083333</v>
      </c>
      <c r="AB631" s="82"/>
      <c r="AC631" s="82"/>
      <c r="AD631" s="85" t="s">
        <v>2423</v>
      </c>
      <c r="AE631" s="84" t="str">
        <f>REPLACE(INDEX(GroupVertices[Group],MATCH("~"&amp;Edges[[#This Row],[Vertex 1]],GroupVertices[Vertex],0)),1,1,"")</f>
        <v>5</v>
      </c>
      <c r="AF631" s="84" t="str">
        <f>REPLACE(INDEX(GroupVertices[Group],MATCH("~"&amp;Edges[[#This Row],[Vertex 2]],GroupVertices[Vertex],0)),1,1,"")</f>
        <v>5</v>
      </c>
    </row>
    <row r="632" spans="1:32" ht="15">
      <c r="A632" s="66" t="s">
        <v>779</v>
      </c>
      <c r="B632" s="66" t="s">
        <v>906</v>
      </c>
      <c r="C632" s="67"/>
      <c r="D632" s="68"/>
      <c r="E632" s="69"/>
      <c r="F632" s="70"/>
      <c r="G632" s="67"/>
      <c r="H632" s="71"/>
      <c r="I632" s="72"/>
      <c r="J632" s="72"/>
      <c r="K632" s="35"/>
      <c r="L632" s="80">
        <v>632</v>
      </c>
      <c r="M632" s="80"/>
      <c r="N632" s="74"/>
      <c r="O632" s="82" t="s">
        <v>909</v>
      </c>
      <c r="P632" s="82" t="s">
        <v>197</v>
      </c>
      <c r="Q632" s="85" t="s">
        <v>1538</v>
      </c>
      <c r="R632" s="82" t="s">
        <v>779</v>
      </c>
      <c r="S632" s="82" t="s">
        <v>2245</v>
      </c>
      <c r="T632" s="87" t="str">
        <f>HYPERLINK("http://www.youtube.com/channel/UC2eG-zOL4v3_NYatOVssahA")</f>
        <v>http://www.youtube.com/channel/UC2eG-zOL4v3_NYatOVssahA</v>
      </c>
      <c r="U632" s="82"/>
      <c r="V632" s="82" t="s">
        <v>2374</v>
      </c>
      <c r="W632" s="87" t="str">
        <f t="shared" si="28"/>
        <v>https://www.youtube.com/watch?v=UVf2Yw7uFoE</v>
      </c>
      <c r="X632" s="82" t="s">
        <v>2384</v>
      </c>
      <c r="Y632" s="82">
        <v>0</v>
      </c>
      <c r="Z632" s="89">
        <v>45293.22210648148</v>
      </c>
      <c r="AA632" s="89">
        <v>45293.22210648148</v>
      </c>
      <c r="AB632" s="82"/>
      <c r="AC632" s="82"/>
      <c r="AD632" s="85" t="s">
        <v>2423</v>
      </c>
      <c r="AE632" s="84" t="str">
        <f>REPLACE(INDEX(GroupVertices[Group],MATCH("~"&amp;Edges[[#This Row],[Vertex 1]],GroupVertices[Vertex],0)),1,1,"")</f>
        <v>5</v>
      </c>
      <c r="AF632" s="84" t="str">
        <f>REPLACE(INDEX(GroupVertices[Group],MATCH("~"&amp;Edges[[#This Row],[Vertex 2]],GroupVertices[Vertex],0)),1,1,"")</f>
        <v>5</v>
      </c>
    </row>
    <row r="633" spans="1:32" ht="15">
      <c r="A633" s="66" t="s">
        <v>780</v>
      </c>
      <c r="B633" s="66" t="s">
        <v>906</v>
      </c>
      <c r="C633" s="67"/>
      <c r="D633" s="68"/>
      <c r="E633" s="69"/>
      <c r="F633" s="70"/>
      <c r="G633" s="67"/>
      <c r="H633" s="71"/>
      <c r="I633" s="72"/>
      <c r="J633" s="72"/>
      <c r="K633" s="35"/>
      <c r="L633" s="80">
        <v>633</v>
      </c>
      <c r="M633" s="80"/>
      <c r="N633" s="74"/>
      <c r="O633" s="82" t="s">
        <v>909</v>
      </c>
      <c r="P633" s="82" t="s">
        <v>197</v>
      </c>
      <c r="Q633" s="85" t="s">
        <v>1539</v>
      </c>
      <c r="R633" s="82" t="s">
        <v>780</v>
      </c>
      <c r="S633" s="82" t="s">
        <v>2246</v>
      </c>
      <c r="T633" s="87" t="str">
        <f>HYPERLINK("http://www.youtube.com/channel/UCENlGrR5L7pVcK3xaRyRTqQ")</f>
        <v>http://www.youtube.com/channel/UCENlGrR5L7pVcK3xaRyRTqQ</v>
      </c>
      <c r="U633" s="82"/>
      <c r="V633" s="82" t="s">
        <v>2374</v>
      </c>
      <c r="W633" s="87" t="str">
        <f t="shared" si="28"/>
        <v>https://www.youtube.com/watch?v=UVf2Yw7uFoE</v>
      </c>
      <c r="X633" s="82" t="s">
        <v>2384</v>
      </c>
      <c r="Y633" s="82">
        <v>0</v>
      </c>
      <c r="Z633" s="89">
        <v>45293.36451388889</v>
      </c>
      <c r="AA633" s="89">
        <v>45293.36481481481</v>
      </c>
      <c r="AB633" s="82"/>
      <c r="AC633" s="82"/>
      <c r="AD633" s="85" t="s">
        <v>2423</v>
      </c>
      <c r="AE633" s="84" t="str">
        <f>REPLACE(INDEX(GroupVertices[Group],MATCH("~"&amp;Edges[[#This Row],[Vertex 1]],GroupVertices[Vertex],0)),1,1,"")</f>
        <v>5</v>
      </c>
      <c r="AF633" s="84" t="str">
        <f>REPLACE(INDEX(GroupVertices[Group],MATCH("~"&amp;Edges[[#This Row],[Vertex 2]],GroupVertices[Vertex],0)),1,1,"")</f>
        <v>5</v>
      </c>
    </row>
    <row r="634" spans="1:32" ht="15">
      <c r="A634" s="66" t="s">
        <v>781</v>
      </c>
      <c r="B634" s="66" t="s">
        <v>906</v>
      </c>
      <c r="C634" s="67"/>
      <c r="D634" s="68"/>
      <c r="E634" s="69"/>
      <c r="F634" s="70"/>
      <c r="G634" s="67"/>
      <c r="H634" s="71"/>
      <c r="I634" s="72"/>
      <c r="J634" s="72"/>
      <c r="K634" s="35"/>
      <c r="L634" s="80">
        <v>634</v>
      </c>
      <c r="M634" s="80"/>
      <c r="N634" s="74"/>
      <c r="O634" s="82" t="s">
        <v>909</v>
      </c>
      <c r="P634" s="82" t="s">
        <v>197</v>
      </c>
      <c r="Q634" s="85" t="s">
        <v>1540</v>
      </c>
      <c r="R634" s="82" t="s">
        <v>781</v>
      </c>
      <c r="S634" s="82" t="s">
        <v>2247</v>
      </c>
      <c r="T634" s="87" t="str">
        <f>HYPERLINK("http://www.youtube.com/channel/UCBBjTjX-N1GvGz-ms0z6MjQ")</f>
        <v>http://www.youtube.com/channel/UCBBjTjX-N1GvGz-ms0z6MjQ</v>
      </c>
      <c r="U634" s="82"/>
      <c r="V634" s="82" t="s">
        <v>2374</v>
      </c>
      <c r="W634" s="87" t="str">
        <f t="shared" si="28"/>
        <v>https://www.youtube.com/watch?v=UVf2Yw7uFoE</v>
      </c>
      <c r="X634" s="82" t="s">
        <v>2384</v>
      </c>
      <c r="Y634" s="82">
        <v>0</v>
      </c>
      <c r="Z634" s="89">
        <v>45294.26825231482</v>
      </c>
      <c r="AA634" s="89">
        <v>45294.26825231482</v>
      </c>
      <c r="AB634" s="82"/>
      <c r="AC634" s="82"/>
      <c r="AD634" s="85" t="s">
        <v>2423</v>
      </c>
      <c r="AE634" s="84" t="str">
        <f>REPLACE(INDEX(GroupVertices[Group],MATCH("~"&amp;Edges[[#This Row],[Vertex 1]],GroupVertices[Vertex],0)),1,1,"")</f>
        <v>5</v>
      </c>
      <c r="AF634" s="84" t="str">
        <f>REPLACE(INDEX(GroupVertices[Group],MATCH("~"&amp;Edges[[#This Row],[Vertex 2]],GroupVertices[Vertex],0)),1,1,"")</f>
        <v>5</v>
      </c>
    </row>
    <row r="635" spans="1:32" ht="15">
      <c r="A635" s="66" t="s">
        <v>782</v>
      </c>
      <c r="B635" s="66" t="s">
        <v>906</v>
      </c>
      <c r="C635" s="67"/>
      <c r="D635" s="68"/>
      <c r="E635" s="69"/>
      <c r="F635" s="70"/>
      <c r="G635" s="67"/>
      <c r="H635" s="71"/>
      <c r="I635" s="72"/>
      <c r="J635" s="72"/>
      <c r="K635" s="35"/>
      <c r="L635" s="80">
        <v>635</v>
      </c>
      <c r="M635" s="80"/>
      <c r="N635" s="74"/>
      <c r="O635" s="82" t="s">
        <v>909</v>
      </c>
      <c r="P635" s="82" t="s">
        <v>197</v>
      </c>
      <c r="Q635" s="85" t="s">
        <v>1541</v>
      </c>
      <c r="R635" s="82" t="s">
        <v>782</v>
      </c>
      <c r="S635" s="82" t="s">
        <v>2248</v>
      </c>
      <c r="T635" s="87" t="str">
        <f>HYPERLINK("http://www.youtube.com/channel/UClrO_-oVlZqeMkas9rScHKA")</f>
        <v>http://www.youtube.com/channel/UClrO_-oVlZqeMkas9rScHKA</v>
      </c>
      <c r="U635" s="82"/>
      <c r="V635" s="82" t="s">
        <v>2374</v>
      </c>
      <c r="W635" s="87" t="str">
        <f t="shared" si="28"/>
        <v>https://www.youtube.com/watch?v=UVf2Yw7uFoE</v>
      </c>
      <c r="X635" s="82" t="s">
        <v>2384</v>
      </c>
      <c r="Y635" s="82">
        <v>0</v>
      </c>
      <c r="Z635" s="89">
        <v>45294.45334490741</v>
      </c>
      <c r="AA635" s="89">
        <v>45294.45334490741</v>
      </c>
      <c r="AB635" s="82"/>
      <c r="AC635" s="82"/>
      <c r="AD635" s="85" t="s">
        <v>2423</v>
      </c>
      <c r="AE635" s="84" t="str">
        <f>REPLACE(INDEX(GroupVertices[Group],MATCH("~"&amp;Edges[[#This Row],[Vertex 1]],GroupVertices[Vertex],0)),1,1,"")</f>
        <v>5</v>
      </c>
      <c r="AF635" s="84" t="str">
        <f>REPLACE(INDEX(GroupVertices[Group],MATCH("~"&amp;Edges[[#This Row],[Vertex 2]],GroupVertices[Vertex],0)),1,1,"")</f>
        <v>5</v>
      </c>
    </row>
    <row r="636" spans="1:32" ht="15">
      <c r="A636" s="66" t="s">
        <v>783</v>
      </c>
      <c r="B636" s="66" t="s">
        <v>906</v>
      </c>
      <c r="C636" s="67"/>
      <c r="D636" s="68"/>
      <c r="E636" s="69"/>
      <c r="F636" s="70"/>
      <c r="G636" s="67"/>
      <c r="H636" s="71"/>
      <c r="I636" s="72"/>
      <c r="J636" s="72"/>
      <c r="K636" s="35"/>
      <c r="L636" s="80">
        <v>636</v>
      </c>
      <c r="M636" s="80"/>
      <c r="N636" s="74"/>
      <c r="O636" s="82" t="s">
        <v>909</v>
      </c>
      <c r="P636" s="82" t="s">
        <v>197</v>
      </c>
      <c r="Q636" s="85" t="s">
        <v>1542</v>
      </c>
      <c r="R636" s="82" t="s">
        <v>783</v>
      </c>
      <c r="S636" s="82" t="s">
        <v>2249</v>
      </c>
      <c r="T636" s="87" t="str">
        <f>HYPERLINK("http://www.youtube.com/channel/UC3xKd0SITTGWENyWSgnLjAQ")</f>
        <v>http://www.youtube.com/channel/UC3xKd0SITTGWENyWSgnLjAQ</v>
      </c>
      <c r="U636" s="82"/>
      <c r="V636" s="82" t="s">
        <v>2374</v>
      </c>
      <c r="W636" s="87" t="str">
        <f t="shared" si="28"/>
        <v>https://www.youtube.com/watch?v=UVf2Yw7uFoE</v>
      </c>
      <c r="X636" s="82" t="s">
        <v>2384</v>
      </c>
      <c r="Y636" s="82">
        <v>0</v>
      </c>
      <c r="Z636" s="89">
        <v>45294.98663194444</v>
      </c>
      <c r="AA636" s="89">
        <v>45294.98663194444</v>
      </c>
      <c r="AB636" s="82"/>
      <c r="AC636" s="82"/>
      <c r="AD636" s="85" t="s">
        <v>2423</v>
      </c>
      <c r="AE636" s="84" t="str">
        <f>REPLACE(INDEX(GroupVertices[Group],MATCH("~"&amp;Edges[[#This Row],[Vertex 1]],GroupVertices[Vertex],0)),1,1,"")</f>
        <v>5</v>
      </c>
      <c r="AF636" s="84" t="str">
        <f>REPLACE(INDEX(GroupVertices[Group],MATCH("~"&amp;Edges[[#This Row],[Vertex 2]],GroupVertices[Vertex],0)),1,1,"")</f>
        <v>5</v>
      </c>
    </row>
    <row r="637" spans="1:32" ht="15">
      <c r="A637" s="66" t="s">
        <v>784</v>
      </c>
      <c r="B637" s="66" t="s">
        <v>906</v>
      </c>
      <c r="C637" s="67"/>
      <c r="D637" s="68"/>
      <c r="E637" s="69"/>
      <c r="F637" s="70"/>
      <c r="G637" s="67"/>
      <c r="H637" s="71"/>
      <c r="I637" s="72"/>
      <c r="J637" s="72"/>
      <c r="K637" s="35"/>
      <c r="L637" s="80">
        <v>637</v>
      </c>
      <c r="M637" s="80"/>
      <c r="N637" s="74"/>
      <c r="O637" s="82" t="s">
        <v>909</v>
      </c>
      <c r="P637" s="82" t="s">
        <v>197</v>
      </c>
      <c r="Q637" s="85" t="s">
        <v>1543</v>
      </c>
      <c r="R637" s="82" t="s">
        <v>784</v>
      </c>
      <c r="S637" s="82" t="s">
        <v>2250</v>
      </c>
      <c r="T637" s="87" t="str">
        <f>HYPERLINK("http://www.youtube.com/channel/UC7aQKMmxHtFECtz8qAOSW5Q")</f>
        <v>http://www.youtube.com/channel/UC7aQKMmxHtFECtz8qAOSW5Q</v>
      </c>
      <c r="U637" s="82"/>
      <c r="V637" s="82" t="s">
        <v>2374</v>
      </c>
      <c r="W637" s="87" t="str">
        <f t="shared" si="28"/>
        <v>https://www.youtube.com/watch?v=UVf2Yw7uFoE</v>
      </c>
      <c r="X637" s="82" t="s">
        <v>2384</v>
      </c>
      <c r="Y637" s="82">
        <v>0</v>
      </c>
      <c r="Z637" s="89">
        <v>45296.537569444445</v>
      </c>
      <c r="AA637" s="89">
        <v>45296.537569444445</v>
      </c>
      <c r="AB637" s="82"/>
      <c r="AC637" s="82"/>
      <c r="AD637" s="85" t="s">
        <v>2423</v>
      </c>
      <c r="AE637" s="84" t="str">
        <f>REPLACE(INDEX(GroupVertices[Group],MATCH("~"&amp;Edges[[#This Row],[Vertex 1]],GroupVertices[Vertex],0)),1,1,"")</f>
        <v>5</v>
      </c>
      <c r="AF637" s="84" t="str">
        <f>REPLACE(INDEX(GroupVertices[Group],MATCH("~"&amp;Edges[[#This Row],[Vertex 2]],GroupVertices[Vertex],0)),1,1,"")</f>
        <v>5</v>
      </c>
    </row>
    <row r="638" spans="1:32" ht="15">
      <c r="A638" s="66" t="s">
        <v>785</v>
      </c>
      <c r="B638" s="66" t="s">
        <v>906</v>
      </c>
      <c r="C638" s="67"/>
      <c r="D638" s="68"/>
      <c r="E638" s="69"/>
      <c r="F638" s="70"/>
      <c r="G638" s="67"/>
      <c r="H638" s="71"/>
      <c r="I638" s="72"/>
      <c r="J638" s="72"/>
      <c r="K638" s="35"/>
      <c r="L638" s="80">
        <v>638</v>
      </c>
      <c r="M638" s="80"/>
      <c r="N638" s="74"/>
      <c r="O638" s="82" t="s">
        <v>909</v>
      </c>
      <c r="P638" s="82" t="s">
        <v>197</v>
      </c>
      <c r="Q638" s="85" t="s">
        <v>1544</v>
      </c>
      <c r="R638" s="82" t="s">
        <v>785</v>
      </c>
      <c r="S638" s="82" t="s">
        <v>2251</v>
      </c>
      <c r="T638" s="87" t="str">
        <f>HYPERLINK("http://www.youtube.com/channel/UCDylOm1eqwfMynNpaM0SpPQ")</f>
        <v>http://www.youtube.com/channel/UCDylOm1eqwfMynNpaM0SpPQ</v>
      </c>
      <c r="U638" s="82"/>
      <c r="V638" s="82" t="s">
        <v>2374</v>
      </c>
      <c r="W638" s="87" t="str">
        <f t="shared" si="28"/>
        <v>https://www.youtube.com/watch?v=UVf2Yw7uFoE</v>
      </c>
      <c r="X638" s="82" t="s">
        <v>2384</v>
      </c>
      <c r="Y638" s="82">
        <v>0</v>
      </c>
      <c r="Z638" s="89">
        <v>45288.714791666665</v>
      </c>
      <c r="AA638" s="89">
        <v>45288.714791666665</v>
      </c>
      <c r="AB638" s="82"/>
      <c r="AC638" s="82"/>
      <c r="AD638" s="85" t="s">
        <v>2423</v>
      </c>
      <c r="AE638" s="84" t="str">
        <f>REPLACE(INDEX(GroupVertices[Group],MATCH("~"&amp;Edges[[#This Row],[Vertex 1]],GroupVertices[Vertex],0)),1,1,"")</f>
        <v>5</v>
      </c>
      <c r="AF638" s="84" t="str">
        <f>REPLACE(INDEX(GroupVertices[Group],MATCH("~"&amp;Edges[[#This Row],[Vertex 2]],GroupVertices[Vertex],0)),1,1,"")</f>
        <v>5</v>
      </c>
    </row>
    <row r="639" spans="1:32" ht="15">
      <c r="A639" s="66" t="s">
        <v>785</v>
      </c>
      <c r="B639" s="66" t="s">
        <v>906</v>
      </c>
      <c r="C639" s="67"/>
      <c r="D639" s="68"/>
      <c r="E639" s="69"/>
      <c r="F639" s="70"/>
      <c r="G639" s="67"/>
      <c r="H639" s="71"/>
      <c r="I639" s="72"/>
      <c r="J639" s="72"/>
      <c r="K639" s="35"/>
      <c r="L639" s="80">
        <v>639</v>
      </c>
      <c r="M639" s="80"/>
      <c r="N639" s="74"/>
      <c r="O639" s="82" t="s">
        <v>909</v>
      </c>
      <c r="P639" s="82" t="s">
        <v>197</v>
      </c>
      <c r="Q639" s="85" t="s">
        <v>1545</v>
      </c>
      <c r="R639" s="82" t="s">
        <v>785</v>
      </c>
      <c r="S639" s="82" t="s">
        <v>2251</v>
      </c>
      <c r="T639" s="87" t="str">
        <f>HYPERLINK("http://www.youtube.com/channel/UCDylOm1eqwfMynNpaM0SpPQ")</f>
        <v>http://www.youtube.com/channel/UCDylOm1eqwfMynNpaM0SpPQ</v>
      </c>
      <c r="U639" s="82"/>
      <c r="V639" s="82" t="s">
        <v>2374</v>
      </c>
      <c r="W639" s="87" t="str">
        <f t="shared" si="28"/>
        <v>https://www.youtube.com/watch?v=UVf2Yw7uFoE</v>
      </c>
      <c r="X639" s="82" t="s">
        <v>2384</v>
      </c>
      <c r="Y639" s="82">
        <v>0</v>
      </c>
      <c r="Z639" s="89">
        <v>45296.71158564815</v>
      </c>
      <c r="AA639" s="89">
        <v>45296.71158564815</v>
      </c>
      <c r="AB639" s="82"/>
      <c r="AC639" s="82"/>
      <c r="AD639" s="85" t="s">
        <v>2423</v>
      </c>
      <c r="AE639" s="84" t="str">
        <f>REPLACE(INDEX(GroupVertices[Group],MATCH("~"&amp;Edges[[#This Row],[Vertex 1]],GroupVertices[Vertex],0)),1,1,"")</f>
        <v>5</v>
      </c>
      <c r="AF639" s="84" t="str">
        <f>REPLACE(INDEX(GroupVertices[Group],MATCH("~"&amp;Edges[[#This Row],[Vertex 2]],GroupVertices[Vertex],0)),1,1,"")</f>
        <v>5</v>
      </c>
    </row>
    <row r="640" spans="1:32" ht="15">
      <c r="A640" s="66" t="s">
        <v>786</v>
      </c>
      <c r="B640" s="66" t="s">
        <v>906</v>
      </c>
      <c r="C640" s="67"/>
      <c r="D640" s="68"/>
      <c r="E640" s="69"/>
      <c r="F640" s="70"/>
      <c r="G640" s="67"/>
      <c r="H640" s="71"/>
      <c r="I640" s="72"/>
      <c r="J640" s="72"/>
      <c r="K640" s="35"/>
      <c r="L640" s="80">
        <v>640</v>
      </c>
      <c r="M640" s="80"/>
      <c r="N640" s="74"/>
      <c r="O640" s="82" t="s">
        <v>909</v>
      </c>
      <c r="P640" s="82" t="s">
        <v>197</v>
      </c>
      <c r="Q640" s="85" t="s">
        <v>1546</v>
      </c>
      <c r="R640" s="82" t="s">
        <v>786</v>
      </c>
      <c r="S640" s="82" t="s">
        <v>2252</v>
      </c>
      <c r="T640" s="87" t="str">
        <f>HYPERLINK("http://www.youtube.com/channel/UCf-UvR81khdNB-yGnKNwxSQ")</f>
        <v>http://www.youtube.com/channel/UCf-UvR81khdNB-yGnKNwxSQ</v>
      </c>
      <c r="U640" s="82"/>
      <c r="V640" s="82" t="s">
        <v>2374</v>
      </c>
      <c r="W640" s="87" t="str">
        <f t="shared" si="28"/>
        <v>https://www.youtube.com/watch?v=UVf2Yw7uFoE</v>
      </c>
      <c r="X640" s="82" t="s">
        <v>2384</v>
      </c>
      <c r="Y640" s="82">
        <v>0</v>
      </c>
      <c r="Z640" s="89">
        <v>45297.84392361111</v>
      </c>
      <c r="AA640" s="89">
        <v>45297.84392361111</v>
      </c>
      <c r="AB640" s="82"/>
      <c r="AC640" s="82"/>
      <c r="AD640" s="85" t="s">
        <v>2423</v>
      </c>
      <c r="AE640" s="84" t="str">
        <f>REPLACE(INDEX(GroupVertices[Group],MATCH("~"&amp;Edges[[#This Row],[Vertex 1]],GroupVertices[Vertex],0)),1,1,"")</f>
        <v>5</v>
      </c>
      <c r="AF640" s="84" t="str">
        <f>REPLACE(INDEX(GroupVertices[Group],MATCH("~"&amp;Edges[[#This Row],[Vertex 2]],GroupVertices[Vertex],0)),1,1,"")</f>
        <v>5</v>
      </c>
    </row>
    <row r="641" spans="1:32" ht="15">
      <c r="A641" s="66" t="s">
        <v>786</v>
      </c>
      <c r="B641" s="66" t="s">
        <v>906</v>
      </c>
      <c r="C641" s="67"/>
      <c r="D641" s="68"/>
      <c r="E641" s="69"/>
      <c r="F641" s="70"/>
      <c r="G641" s="67"/>
      <c r="H641" s="71"/>
      <c r="I641" s="72"/>
      <c r="J641" s="72"/>
      <c r="K641" s="35"/>
      <c r="L641" s="80">
        <v>641</v>
      </c>
      <c r="M641" s="80"/>
      <c r="N641" s="74"/>
      <c r="O641" s="82" t="s">
        <v>909</v>
      </c>
      <c r="P641" s="82" t="s">
        <v>197</v>
      </c>
      <c r="Q641" s="85" t="s">
        <v>1547</v>
      </c>
      <c r="R641" s="82" t="s">
        <v>786</v>
      </c>
      <c r="S641" s="82" t="s">
        <v>2252</v>
      </c>
      <c r="T641" s="87" t="str">
        <f>HYPERLINK("http://www.youtube.com/channel/UCf-UvR81khdNB-yGnKNwxSQ")</f>
        <v>http://www.youtube.com/channel/UCf-UvR81khdNB-yGnKNwxSQ</v>
      </c>
      <c r="U641" s="82"/>
      <c r="V641" s="82" t="s">
        <v>2374</v>
      </c>
      <c r="W641" s="87" t="str">
        <f t="shared" si="28"/>
        <v>https://www.youtube.com/watch?v=UVf2Yw7uFoE</v>
      </c>
      <c r="X641" s="82" t="s">
        <v>2384</v>
      </c>
      <c r="Y641" s="82">
        <v>0</v>
      </c>
      <c r="Z641" s="89">
        <v>45297.848761574074</v>
      </c>
      <c r="AA641" s="89">
        <v>45297.848761574074</v>
      </c>
      <c r="AB641" s="82"/>
      <c r="AC641" s="82"/>
      <c r="AD641" s="85" t="s">
        <v>2423</v>
      </c>
      <c r="AE641" s="84" t="str">
        <f>REPLACE(INDEX(GroupVertices[Group],MATCH("~"&amp;Edges[[#This Row],[Vertex 1]],GroupVertices[Vertex],0)),1,1,"")</f>
        <v>5</v>
      </c>
      <c r="AF641" s="84" t="str">
        <f>REPLACE(INDEX(GroupVertices[Group],MATCH("~"&amp;Edges[[#This Row],[Vertex 2]],GroupVertices[Vertex],0)),1,1,"")</f>
        <v>5</v>
      </c>
    </row>
    <row r="642" spans="1:32" ht="15">
      <c r="A642" s="66" t="s">
        <v>787</v>
      </c>
      <c r="B642" s="66" t="s">
        <v>906</v>
      </c>
      <c r="C642" s="67"/>
      <c r="D642" s="68"/>
      <c r="E642" s="69"/>
      <c r="F642" s="70"/>
      <c r="G642" s="67"/>
      <c r="H642" s="71"/>
      <c r="I642" s="72"/>
      <c r="J642" s="72"/>
      <c r="K642" s="35"/>
      <c r="L642" s="80">
        <v>642</v>
      </c>
      <c r="M642" s="80"/>
      <c r="N642" s="74"/>
      <c r="O642" s="82" t="s">
        <v>909</v>
      </c>
      <c r="P642" s="82" t="s">
        <v>197</v>
      </c>
      <c r="Q642" s="85" t="s">
        <v>1548</v>
      </c>
      <c r="R642" s="82" t="s">
        <v>787</v>
      </c>
      <c r="S642" s="82" t="s">
        <v>2253</v>
      </c>
      <c r="T642" s="87" t="str">
        <f>HYPERLINK("http://www.youtube.com/channel/UC9rP5NH6dEKSDNuxMuZ-QgQ")</f>
        <v>http://www.youtube.com/channel/UC9rP5NH6dEKSDNuxMuZ-QgQ</v>
      </c>
      <c r="U642" s="82"/>
      <c r="V642" s="82" t="s">
        <v>2374</v>
      </c>
      <c r="W642" s="87" t="str">
        <f t="shared" si="28"/>
        <v>https://www.youtube.com/watch?v=UVf2Yw7uFoE</v>
      </c>
      <c r="X642" s="82" t="s">
        <v>2384</v>
      </c>
      <c r="Y642" s="82">
        <v>0</v>
      </c>
      <c r="Z642" s="89">
        <v>45298.884375</v>
      </c>
      <c r="AA642" s="89">
        <v>45298.884375</v>
      </c>
      <c r="AB642" s="82"/>
      <c r="AC642" s="82"/>
      <c r="AD642" s="85" t="s">
        <v>2423</v>
      </c>
      <c r="AE642" s="84" t="str">
        <f>REPLACE(INDEX(GroupVertices[Group],MATCH("~"&amp;Edges[[#This Row],[Vertex 1]],GroupVertices[Vertex],0)),1,1,"")</f>
        <v>5</v>
      </c>
      <c r="AF642" s="84" t="str">
        <f>REPLACE(INDEX(GroupVertices[Group],MATCH("~"&amp;Edges[[#This Row],[Vertex 2]],GroupVertices[Vertex],0)),1,1,"")</f>
        <v>5</v>
      </c>
    </row>
    <row r="643" spans="1:32" ht="15">
      <c r="A643" s="66" t="s">
        <v>788</v>
      </c>
      <c r="B643" s="66" t="s">
        <v>906</v>
      </c>
      <c r="C643" s="67"/>
      <c r="D643" s="68"/>
      <c r="E643" s="69"/>
      <c r="F643" s="70"/>
      <c r="G643" s="67"/>
      <c r="H643" s="71"/>
      <c r="I643" s="72"/>
      <c r="J643" s="72"/>
      <c r="K643" s="35"/>
      <c r="L643" s="80">
        <v>643</v>
      </c>
      <c r="M643" s="80"/>
      <c r="N643" s="74"/>
      <c r="O643" s="82" t="s">
        <v>909</v>
      </c>
      <c r="P643" s="82" t="s">
        <v>197</v>
      </c>
      <c r="Q643" s="85" t="s">
        <v>1549</v>
      </c>
      <c r="R643" s="82" t="s">
        <v>788</v>
      </c>
      <c r="S643" s="82" t="s">
        <v>2254</v>
      </c>
      <c r="T643" s="87" t="str">
        <f>HYPERLINK("http://www.youtube.com/channel/UCnc1riW0kKBbNsGaMk8V-DA")</f>
        <v>http://www.youtube.com/channel/UCnc1riW0kKBbNsGaMk8V-DA</v>
      </c>
      <c r="U643" s="82"/>
      <c r="V643" s="82" t="s">
        <v>2374</v>
      </c>
      <c r="W643" s="87" t="str">
        <f t="shared" si="28"/>
        <v>https://www.youtube.com/watch?v=UVf2Yw7uFoE</v>
      </c>
      <c r="X643" s="82" t="s">
        <v>2384</v>
      </c>
      <c r="Y643" s="82">
        <v>0</v>
      </c>
      <c r="Z643" s="89">
        <v>45299.15950231482</v>
      </c>
      <c r="AA643" s="89">
        <v>45299.15950231482</v>
      </c>
      <c r="AB643" s="82"/>
      <c r="AC643" s="82"/>
      <c r="AD643" s="85" t="s">
        <v>2423</v>
      </c>
      <c r="AE643" s="84" t="str">
        <f>REPLACE(INDEX(GroupVertices[Group],MATCH("~"&amp;Edges[[#This Row],[Vertex 1]],GroupVertices[Vertex],0)),1,1,"")</f>
        <v>5</v>
      </c>
      <c r="AF643" s="84" t="str">
        <f>REPLACE(INDEX(GroupVertices[Group],MATCH("~"&amp;Edges[[#This Row],[Vertex 2]],GroupVertices[Vertex],0)),1,1,"")</f>
        <v>5</v>
      </c>
    </row>
    <row r="644" spans="1:32" ht="15">
      <c r="A644" s="66" t="s">
        <v>789</v>
      </c>
      <c r="B644" s="66" t="s">
        <v>906</v>
      </c>
      <c r="C644" s="67"/>
      <c r="D644" s="68"/>
      <c r="E644" s="69"/>
      <c r="F644" s="70"/>
      <c r="G644" s="67"/>
      <c r="H644" s="71"/>
      <c r="I644" s="72"/>
      <c r="J644" s="72"/>
      <c r="K644" s="35"/>
      <c r="L644" s="80">
        <v>644</v>
      </c>
      <c r="M644" s="80"/>
      <c r="N644" s="74"/>
      <c r="O644" s="82" t="s">
        <v>909</v>
      </c>
      <c r="P644" s="82" t="s">
        <v>197</v>
      </c>
      <c r="Q644" s="85" t="s">
        <v>1550</v>
      </c>
      <c r="R644" s="82" t="s">
        <v>789</v>
      </c>
      <c r="S644" s="82" t="s">
        <v>2255</v>
      </c>
      <c r="T644" s="87" t="str">
        <f>HYPERLINK("http://www.youtube.com/channel/UC3iGlcr2nXFqkalqIg-DhNw")</f>
        <v>http://www.youtube.com/channel/UC3iGlcr2nXFqkalqIg-DhNw</v>
      </c>
      <c r="U644" s="82"/>
      <c r="V644" s="82" t="s">
        <v>2374</v>
      </c>
      <c r="W644" s="87" t="str">
        <f t="shared" si="28"/>
        <v>https://www.youtube.com/watch?v=UVf2Yw7uFoE</v>
      </c>
      <c r="X644" s="82" t="s">
        <v>2384</v>
      </c>
      <c r="Y644" s="82">
        <v>0</v>
      </c>
      <c r="Z644" s="89">
        <v>45300.19152777778</v>
      </c>
      <c r="AA644" s="89">
        <v>45300.19152777778</v>
      </c>
      <c r="AB644" s="82"/>
      <c r="AC644" s="82"/>
      <c r="AD644" s="85" t="s">
        <v>2423</v>
      </c>
      <c r="AE644" s="84" t="str">
        <f>REPLACE(INDEX(GroupVertices[Group],MATCH("~"&amp;Edges[[#This Row],[Vertex 1]],GroupVertices[Vertex],0)),1,1,"")</f>
        <v>5</v>
      </c>
      <c r="AF644" s="84" t="str">
        <f>REPLACE(INDEX(GroupVertices[Group],MATCH("~"&amp;Edges[[#This Row],[Vertex 2]],GroupVertices[Vertex],0)),1,1,"")</f>
        <v>5</v>
      </c>
    </row>
    <row r="645" spans="1:32" ht="15">
      <c r="A645" s="66" t="s">
        <v>790</v>
      </c>
      <c r="B645" s="66" t="s">
        <v>906</v>
      </c>
      <c r="C645" s="67"/>
      <c r="D645" s="68"/>
      <c r="E645" s="69"/>
      <c r="F645" s="70"/>
      <c r="G645" s="67"/>
      <c r="H645" s="71"/>
      <c r="I645" s="72"/>
      <c r="J645" s="72"/>
      <c r="K645" s="35"/>
      <c r="L645" s="80">
        <v>645</v>
      </c>
      <c r="M645" s="80"/>
      <c r="N645" s="74"/>
      <c r="O645" s="82" t="s">
        <v>909</v>
      </c>
      <c r="P645" s="82" t="s">
        <v>197</v>
      </c>
      <c r="Q645" s="85" t="s">
        <v>1551</v>
      </c>
      <c r="R645" s="82" t="s">
        <v>790</v>
      </c>
      <c r="S645" s="82" t="s">
        <v>2256</v>
      </c>
      <c r="T645" s="87" t="str">
        <f>HYPERLINK("http://www.youtube.com/channel/UCYgk1yZGdAaarTUBVGUrJ_w")</f>
        <v>http://www.youtube.com/channel/UCYgk1yZGdAaarTUBVGUrJ_w</v>
      </c>
      <c r="U645" s="82"/>
      <c r="V645" s="82" t="s">
        <v>2374</v>
      </c>
      <c r="W645" s="87" t="str">
        <f t="shared" si="28"/>
        <v>https://www.youtube.com/watch?v=UVf2Yw7uFoE</v>
      </c>
      <c r="X645" s="82" t="s">
        <v>2384</v>
      </c>
      <c r="Y645" s="82">
        <v>0</v>
      </c>
      <c r="Z645" s="89">
        <v>45300.96666666667</v>
      </c>
      <c r="AA645" s="89">
        <v>45300.96666666667</v>
      </c>
      <c r="AB645" s="82"/>
      <c r="AC645" s="82"/>
      <c r="AD645" s="85" t="s">
        <v>2423</v>
      </c>
      <c r="AE645" s="84" t="str">
        <f>REPLACE(INDEX(GroupVertices[Group],MATCH("~"&amp;Edges[[#This Row],[Vertex 1]],GroupVertices[Vertex],0)),1,1,"")</f>
        <v>5</v>
      </c>
      <c r="AF645" s="84" t="str">
        <f>REPLACE(INDEX(GroupVertices[Group],MATCH("~"&amp;Edges[[#This Row],[Vertex 2]],GroupVertices[Vertex],0)),1,1,"")</f>
        <v>5</v>
      </c>
    </row>
    <row r="646" spans="1:32" ht="15">
      <c r="A646" s="66" t="s">
        <v>791</v>
      </c>
      <c r="B646" s="66" t="s">
        <v>902</v>
      </c>
      <c r="C646" s="67"/>
      <c r="D646" s="68"/>
      <c r="E646" s="69"/>
      <c r="F646" s="70"/>
      <c r="G646" s="67"/>
      <c r="H646" s="71"/>
      <c r="I646" s="72"/>
      <c r="J646" s="72"/>
      <c r="K646" s="35"/>
      <c r="L646" s="80">
        <v>646</v>
      </c>
      <c r="M646" s="80"/>
      <c r="N646" s="74"/>
      <c r="O646" s="82" t="s">
        <v>909</v>
      </c>
      <c r="P646" s="82" t="s">
        <v>197</v>
      </c>
      <c r="Q646" s="85" t="s">
        <v>1552</v>
      </c>
      <c r="R646" s="82" t="s">
        <v>791</v>
      </c>
      <c r="S646" s="82" t="s">
        <v>2257</v>
      </c>
      <c r="T646" s="87" t="str">
        <f>HYPERLINK("http://www.youtube.com/channel/UC_OIjvDidDQ6VsjZUGBHTJg")</f>
        <v>http://www.youtube.com/channel/UC_OIjvDidDQ6VsjZUGBHTJg</v>
      </c>
      <c r="U646" s="82"/>
      <c r="V646" s="82" t="s">
        <v>2369</v>
      </c>
      <c r="W646" s="87" t="str">
        <f>HYPERLINK("https://www.youtube.com/watch?v=E39neWnw9AA")</f>
        <v>https://www.youtube.com/watch?v=E39neWnw9AA</v>
      </c>
      <c r="X646" s="82" t="s">
        <v>2384</v>
      </c>
      <c r="Y646" s="82">
        <v>0</v>
      </c>
      <c r="Z646" s="89">
        <v>45301.286145833335</v>
      </c>
      <c r="AA646" s="89">
        <v>45301.286145833335</v>
      </c>
      <c r="AB646" s="82"/>
      <c r="AC646" s="82"/>
      <c r="AD646" s="85" t="s">
        <v>2423</v>
      </c>
      <c r="AE646" s="84" t="str">
        <f>REPLACE(INDEX(GroupVertices[Group],MATCH("~"&amp;Edges[[#This Row],[Vertex 1]],GroupVertices[Vertex],0)),1,1,"")</f>
        <v>5</v>
      </c>
      <c r="AF646" s="84" t="str">
        <f>REPLACE(INDEX(GroupVertices[Group],MATCH("~"&amp;Edges[[#This Row],[Vertex 2]],GroupVertices[Vertex],0)),1,1,"")</f>
        <v>4</v>
      </c>
    </row>
    <row r="647" spans="1:32" ht="15">
      <c r="A647" s="66" t="s">
        <v>791</v>
      </c>
      <c r="B647" s="66" t="s">
        <v>902</v>
      </c>
      <c r="C647" s="67"/>
      <c r="D647" s="68"/>
      <c r="E647" s="69"/>
      <c r="F647" s="70"/>
      <c r="G647" s="67"/>
      <c r="H647" s="71"/>
      <c r="I647" s="72"/>
      <c r="J647" s="72"/>
      <c r="K647" s="35"/>
      <c r="L647" s="80">
        <v>647</v>
      </c>
      <c r="M647" s="80"/>
      <c r="N647" s="74"/>
      <c r="O647" s="82" t="s">
        <v>909</v>
      </c>
      <c r="P647" s="82" t="s">
        <v>197</v>
      </c>
      <c r="Q647" s="85" t="s">
        <v>1553</v>
      </c>
      <c r="R647" s="82" t="s">
        <v>791</v>
      </c>
      <c r="S647" s="82" t="s">
        <v>2257</v>
      </c>
      <c r="T647" s="87" t="str">
        <f>HYPERLINK("http://www.youtube.com/channel/UC_OIjvDidDQ6VsjZUGBHTJg")</f>
        <v>http://www.youtube.com/channel/UC_OIjvDidDQ6VsjZUGBHTJg</v>
      </c>
      <c r="U647" s="82"/>
      <c r="V647" s="82" t="s">
        <v>2369</v>
      </c>
      <c r="W647" s="87" t="str">
        <f>HYPERLINK("https://www.youtube.com/watch?v=E39neWnw9AA")</f>
        <v>https://www.youtube.com/watch?v=E39neWnw9AA</v>
      </c>
      <c r="X647" s="82" t="s">
        <v>2384</v>
      </c>
      <c r="Y647" s="82">
        <v>0</v>
      </c>
      <c r="Z647" s="89">
        <v>45301.32134259259</v>
      </c>
      <c r="AA647" s="89">
        <v>45301.32134259259</v>
      </c>
      <c r="AB647" s="82"/>
      <c r="AC647" s="82"/>
      <c r="AD647" s="85" t="s">
        <v>2423</v>
      </c>
      <c r="AE647" s="84" t="str">
        <f>REPLACE(INDEX(GroupVertices[Group],MATCH("~"&amp;Edges[[#This Row],[Vertex 1]],GroupVertices[Vertex],0)),1,1,"")</f>
        <v>5</v>
      </c>
      <c r="AF647" s="84" t="str">
        <f>REPLACE(INDEX(GroupVertices[Group],MATCH("~"&amp;Edges[[#This Row],[Vertex 2]],GroupVertices[Vertex],0)),1,1,"")</f>
        <v>4</v>
      </c>
    </row>
    <row r="648" spans="1:32" ht="15">
      <c r="A648" s="66" t="s">
        <v>791</v>
      </c>
      <c r="B648" s="66" t="s">
        <v>906</v>
      </c>
      <c r="C648" s="67"/>
      <c r="D648" s="68"/>
      <c r="E648" s="69"/>
      <c r="F648" s="70"/>
      <c r="G648" s="67"/>
      <c r="H648" s="71"/>
      <c r="I648" s="72"/>
      <c r="J648" s="72"/>
      <c r="K648" s="35"/>
      <c r="L648" s="80">
        <v>648</v>
      </c>
      <c r="M648" s="80"/>
      <c r="N648" s="74"/>
      <c r="O648" s="82" t="s">
        <v>909</v>
      </c>
      <c r="P648" s="82" t="s">
        <v>197</v>
      </c>
      <c r="Q648" s="85" t="s">
        <v>1552</v>
      </c>
      <c r="R648" s="82" t="s">
        <v>791</v>
      </c>
      <c r="S648" s="82" t="s">
        <v>2257</v>
      </c>
      <c r="T648" s="87" t="str">
        <f>HYPERLINK("http://www.youtube.com/channel/UC_OIjvDidDQ6VsjZUGBHTJg")</f>
        <v>http://www.youtube.com/channel/UC_OIjvDidDQ6VsjZUGBHTJg</v>
      </c>
      <c r="U648" s="82"/>
      <c r="V648" s="82" t="s">
        <v>2374</v>
      </c>
      <c r="W648" s="87" t="str">
        <f aca="true" t="shared" si="29" ref="W648:W657">HYPERLINK("https://www.youtube.com/watch?v=UVf2Yw7uFoE")</f>
        <v>https://www.youtube.com/watch?v=UVf2Yw7uFoE</v>
      </c>
      <c r="X648" s="82" t="s">
        <v>2384</v>
      </c>
      <c r="Y648" s="82">
        <v>0</v>
      </c>
      <c r="Z648" s="89">
        <v>45301.287511574075</v>
      </c>
      <c r="AA648" s="89">
        <v>45301.287511574075</v>
      </c>
      <c r="AB648" s="82"/>
      <c r="AC648" s="82"/>
      <c r="AD648" s="85" t="s">
        <v>2423</v>
      </c>
      <c r="AE648" s="84" t="str">
        <f>REPLACE(INDEX(GroupVertices[Group],MATCH("~"&amp;Edges[[#This Row],[Vertex 1]],GroupVertices[Vertex],0)),1,1,"")</f>
        <v>5</v>
      </c>
      <c r="AF648" s="84" t="str">
        <f>REPLACE(INDEX(GroupVertices[Group],MATCH("~"&amp;Edges[[#This Row],[Vertex 2]],GroupVertices[Vertex],0)),1,1,"")</f>
        <v>5</v>
      </c>
    </row>
    <row r="649" spans="1:32" ht="15">
      <c r="A649" s="66" t="s">
        <v>791</v>
      </c>
      <c r="B649" s="66" t="s">
        <v>906</v>
      </c>
      <c r="C649" s="67"/>
      <c r="D649" s="68"/>
      <c r="E649" s="69"/>
      <c r="F649" s="70"/>
      <c r="G649" s="67"/>
      <c r="H649" s="71"/>
      <c r="I649" s="72"/>
      <c r="J649" s="72"/>
      <c r="K649" s="35"/>
      <c r="L649" s="80">
        <v>649</v>
      </c>
      <c r="M649" s="80"/>
      <c r="N649" s="74"/>
      <c r="O649" s="82" t="s">
        <v>909</v>
      </c>
      <c r="P649" s="82" t="s">
        <v>197</v>
      </c>
      <c r="Q649" s="85" t="s">
        <v>1553</v>
      </c>
      <c r="R649" s="82" t="s">
        <v>791</v>
      </c>
      <c r="S649" s="82" t="s">
        <v>2257</v>
      </c>
      <c r="T649" s="87" t="str">
        <f>HYPERLINK("http://www.youtube.com/channel/UC_OIjvDidDQ6VsjZUGBHTJg")</f>
        <v>http://www.youtube.com/channel/UC_OIjvDidDQ6VsjZUGBHTJg</v>
      </c>
      <c r="U649" s="82"/>
      <c r="V649" s="82" t="s">
        <v>2374</v>
      </c>
      <c r="W649" s="87" t="str">
        <f t="shared" si="29"/>
        <v>https://www.youtube.com/watch?v=UVf2Yw7uFoE</v>
      </c>
      <c r="X649" s="82" t="s">
        <v>2384</v>
      </c>
      <c r="Y649" s="82">
        <v>0</v>
      </c>
      <c r="Z649" s="89">
        <v>45301.32098379629</v>
      </c>
      <c r="AA649" s="89">
        <v>45301.32098379629</v>
      </c>
      <c r="AB649" s="82"/>
      <c r="AC649" s="82"/>
      <c r="AD649" s="85" t="s">
        <v>2423</v>
      </c>
      <c r="AE649" s="84" t="str">
        <f>REPLACE(INDEX(GroupVertices[Group],MATCH("~"&amp;Edges[[#This Row],[Vertex 1]],GroupVertices[Vertex],0)),1,1,"")</f>
        <v>5</v>
      </c>
      <c r="AF649" s="84" t="str">
        <f>REPLACE(INDEX(GroupVertices[Group],MATCH("~"&amp;Edges[[#This Row],[Vertex 2]],GroupVertices[Vertex],0)),1,1,"")</f>
        <v>5</v>
      </c>
    </row>
    <row r="650" spans="1:32" ht="15">
      <c r="A650" s="66" t="s">
        <v>792</v>
      </c>
      <c r="B650" s="66" t="s">
        <v>906</v>
      </c>
      <c r="C650" s="67"/>
      <c r="D650" s="68"/>
      <c r="E650" s="69"/>
      <c r="F650" s="70"/>
      <c r="G650" s="67"/>
      <c r="H650" s="71"/>
      <c r="I650" s="72"/>
      <c r="J650" s="72"/>
      <c r="K650" s="35"/>
      <c r="L650" s="80">
        <v>650</v>
      </c>
      <c r="M650" s="80"/>
      <c r="N650" s="74"/>
      <c r="O650" s="82" t="s">
        <v>909</v>
      </c>
      <c r="P650" s="82" t="s">
        <v>197</v>
      </c>
      <c r="Q650" s="85" t="s">
        <v>1554</v>
      </c>
      <c r="R650" s="82" t="s">
        <v>792</v>
      </c>
      <c r="S650" s="82" t="s">
        <v>2258</v>
      </c>
      <c r="T650" s="87" t="str">
        <f>HYPERLINK("http://www.youtube.com/channel/UCRU8CY6Kv0M_pNzLmmaWHHQ")</f>
        <v>http://www.youtube.com/channel/UCRU8CY6Kv0M_pNzLmmaWHHQ</v>
      </c>
      <c r="U650" s="82"/>
      <c r="V650" s="82" t="s">
        <v>2374</v>
      </c>
      <c r="W650" s="87" t="str">
        <f t="shared" si="29"/>
        <v>https://www.youtube.com/watch?v=UVf2Yw7uFoE</v>
      </c>
      <c r="X650" s="82" t="s">
        <v>2384</v>
      </c>
      <c r="Y650" s="82">
        <v>0</v>
      </c>
      <c r="Z650" s="89">
        <v>45301.63445601852</v>
      </c>
      <c r="AA650" s="89">
        <v>45301.63445601852</v>
      </c>
      <c r="AB650" s="82"/>
      <c r="AC650" s="82"/>
      <c r="AD650" s="85" t="s">
        <v>2423</v>
      </c>
      <c r="AE650" s="84" t="str">
        <f>REPLACE(INDEX(GroupVertices[Group],MATCH("~"&amp;Edges[[#This Row],[Vertex 1]],GroupVertices[Vertex],0)),1,1,"")</f>
        <v>5</v>
      </c>
      <c r="AF650" s="84" t="str">
        <f>REPLACE(INDEX(GroupVertices[Group],MATCH("~"&amp;Edges[[#This Row],[Vertex 2]],GroupVertices[Vertex],0)),1,1,"")</f>
        <v>5</v>
      </c>
    </row>
    <row r="651" spans="1:32" ht="15">
      <c r="A651" s="66" t="s">
        <v>793</v>
      </c>
      <c r="B651" s="66" t="s">
        <v>906</v>
      </c>
      <c r="C651" s="67"/>
      <c r="D651" s="68"/>
      <c r="E651" s="69"/>
      <c r="F651" s="70"/>
      <c r="G651" s="67"/>
      <c r="H651" s="71"/>
      <c r="I651" s="72"/>
      <c r="J651" s="72"/>
      <c r="K651" s="35"/>
      <c r="L651" s="80">
        <v>651</v>
      </c>
      <c r="M651" s="80"/>
      <c r="N651" s="74"/>
      <c r="O651" s="82" t="s">
        <v>909</v>
      </c>
      <c r="P651" s="82" t="s">
        <v>197</v>
      </c>
      <c r="Q651" s="85" t="s">
        <v>1555</v>
      </c>
      <c r="R651" s="82" t="s">
        <v>793</v>
      </c>
      <c r="S651" s="82" t="s">
        <v>2259</v>
      </c>
      <c r="T651" s="87" t="str">
        <f>HYPERLINK("http://www.youtube.com/channel/UC1QPaL3PjQsHEMeXU3FiWIw")</f>
        <v>http://www.youtube.com/channel/UC1QPaL3PjQsHEMeXU3FiWIw</v>
      </c>
      <c r="U651" s="82"/>
      <c r="V651" s="82" t="s">
        <v>2374</v>
      </c>
      <c r="W651" s="87" t="str">
        <f t="shared" si="29"/>
        <v>https://www.youtube.com/watch?v=UVf2Yw7uFoE</v>
      </c>
      <c r="X651" s="82" t="s">
        <v>2384</v>
      </c>
      <c r="Y651" s="82">
        <v>0</v>
      </c>
      <c r="Z651" s="89">
        <v>45302.03371527778</v>
      </c>
      <c r="AA651" s="89">
        <v>45302.03371527778</v>
      </c>
      <c r="AB651" s="82"/>
      <c r="AC651" s="82"/>
      <c r="AD651" s="85" t="s">
        <v>2423</v>
      </c>
      <c r="AE651" s="84" t="str">
        <f>REPLACE(INDEX(GroupVertices[Group],MATCH("~"&amp;Edges[[#This Row],[Vertex 1]],GroupVertices[Vertex],0)),1,1,"")</f>
        <v>5</v>
      </c>
      <c r="AF651" s="84" t="str">
        <f>REPLACE(INDEX(GroupVertices[Group],MATCH("~"&amp;Edges[[#This Row],[Vertex 2]],GroupVertices[Vertex],0)),1,1,"")</f>
        <v>5</v>
      </c>
    </row>
    <row r="652" spans="1:32" ht="15">
      <c r="A652" s="66" t="s">
        <v>794</v>
      </c>
      <c r="B652" s="66" t="s">
        <v>906</v>
      </c>
      <c r="C652" s="67"/>
      <c r="D652" s="68"/>
      <c r="E652" s="69"/>
      <c r="F652" s="70"/>
      <c r="G652" s="67"/>
      <c r="H652" s="71"/>
      <c r="I652" s="72"/>
      <c r="J652" s="72"/>
      <c r="K652" s="35"/>
      <c r="L652" s="80">
        <v>652</v>
      </c>
      <c r="M652" s="80"/>
      <c r="N652" s="74"/>
      <c r="O652" s="82" t="s">
        <v>909</v>
      </c>
      <c r="P652" s="82" t="s">
        <v>197</v>
      </c>
      <c r="Q652" s="85" t="s">
        <v>1556</v>
      </c>
      <c r="R652" s="82" t="s">
        <v>794</v>
      </c>
      <c r="S652" s="82" t="s">
        <v>2260</v>
      </c>
      <c r="T652" s="87" t="str">
        <f>HYPERLINK("http://www.youtube.com/channel/UC6LjgjCbipc7v3lAB_yKQgw")</f>
        <v>http://www.youtube.com/channel/UC6LjgjCbipc7v3lAB_yKQgw</v>
      </c>
      <c r="U652" s="82"/>
      <c r="V652" s="82" t="s">
        <v>2374</v>
      </c>
      <c r="W652" s="87" t="str">
        <f t="shared" si="29"/>
        <v>https://www.youtube.com/watch?v=UVf2Yw7uFoE</v>
      </c>
      <c r="X652" s="82" t="s">
        <v>2384</v>
      </c>
      <c r="Y652" s="82">
        <v>0</v>
      </c>
      <c r="Z652" s="89">
        <v>45302.11969907407</v>
      </c>
      <c r="AA652" s="89">
        <v>45302.11969907407</v>
      </c>
      <c r="AB652" s="82"/>
      <c r="AC652" s="82"/>
      <c r="AD652" s="85" t="s">
        <v>2423</v>
      </c>
      <c r="AE652" s="84" t="str">
        <f>REPLACE(INDEX(GroupVertices[Group],MATCH("~"&amp;Edges[[#This Row],[Vertex 1]],GroupVertices[Vertex],0)),1,1,"")</f>
        <v>5</v>
      </c>
      <c r="AF652" s="84" t="str">
        <f>REPLACE(INDEX(GroupVertices[Group],MATCH("~"&amp;Edges[[#This Row],[Vertex 2]],GroupVertices[Vertex],0)),1,1,"")</f>
        <v>5</v>
      </c>
    </row>
    <row r="653" spans="1:32" ht="15">
      <c r="A653" s="66" t="s">
        <v>795</v>
      </c>
      <c r="B653" s="66" t="s">
        <v>906</v>
      </c>
      <c r="C653" s="67"/>
      <c r="D653" s="68"/>
      <c r="E653" s="69"/>
      <c r="F653" s="70"/>
      <c r="G653" s="67"/>
      <c r="H653" s="71"/>
      <c r="I653" s="72"/>
      <c r="J653" s="72"/>
      <c r="K653" s="35"/>
      <c r="L653" s="80">
        <v>653</v>
      </c>
      <c r="M653" s="80"/>
      <c r="N653" s="74"/>
      <c r="O653" s="82" t="s">
        <v>909</v>
      </c>
      <c r="P653" s="82" t="s">
        <v>197</v>
      </c>
      <c r="Q653" s="85" t="s">
        <v>1557</v>
      </c>
      <c r="R653" s="82" t="s">
        <v>795</v>
      </c>
      <c r="S653" s="82" t="s">
        <v>2261</v>
      </c>
      <c r="T653" s="87" t="str">
        <f>HYPERLINK("http://www.youtube.com/channel/UCNg-fnpamIO1dMzpa09iBzA")</f>
        <v>http://www.youtube.com/channel/UCNg-fnpamIO1dMzpa09iBzA</v>
      </c>
      <c r="U653" s="82"/>
      <c r="V653" s="82" t="s">
        <v>2374</v>
      </c>
      <c r="W653" s="87" t="str">
        <f t="shared" si="29"/>
        <v>https://www.youtube.com/watch?v=UVf2Yw7uFoE</v>
      </c>
      <c r="X653" s="82" t="s">
        <v>2384</v>
      </c>
      <c r="Y653" s="82">
        <v>0</v>
      </c>
      <c r="Z653" s="89">
        <v>45302.16709490741</v>
      </c>
      <c r="AA653" s="89">
        <v>45302.16709490741</v>
      </c>
      <c r="AB653" s="82"/>
      <c r="AC653" s="82"/>
      <c r="AD653" s="85" t="s">
        <v>2423</v>
      </c>
      <c r="AE653" s="84" t="str">
        <f>REPLACE(INDEX(GroupVertices[Group],MATCH("~"&amp;Edges[[#This Row],[Vertex 1]],GroupVertices[Vertex],0)),1,1,"")</f>
        <v>5</v>
      </c>
      <c r="AF653" s="84" t="str">
        <f>REPLACE(INDEX(GroupVertices[Group],MATCH("~"&amp;Edges[[#This Row],[Vertex 2]],GroupVertices[Vertex],0)),1,1,"")</f>
        <v>5</v>
      </c>
    </row>
    <row r="654" spans="1:32" ht="15">
      <c r="A654" s="66" t="s">
        <v>796</v>
      </c>
      <c r="B654" s="66" t="s">
        <v>906</v>
      </c>
      <c r="C654" s="67"/>
      <c r="D654" s="68"/>
      <c r="E654" s="69"/>
      <c r="F654" s="70"/>
      <c r="G654" s="67"/>
      <c r="H654" s="71"/>
      <c r="I654" s="72"/>
      <c r="J654" s="72"/>
      <c r="K654" s="35"/>
      <c r="L654" s="80">
        <v>654</v>
      </c>
      <c r="M654" s="80"/>
      <c r="N654" s="74"/>
      <c r="O654" s="82" t="s">
        <v>909</v>
      </c>
      <c r="P654" s="82" t="s">
        <v>197</v>
      </c>
      <c r="Q654" s="85" t="s">
        <v>1558</v>
      </c>
      <c r="R654" s="82" t="s">
        <v>796</v>
      </c>
      <c r="S654" s="82" t="s">
        <v>2262</v>
      </c>
      <c r="T654" s="87" t="str">
        <f>HYPERLINK("http://www.youtube.com/channel/UCcyN1R-WcRVbIGLKMlZCqMA")</f>
        <v>http://www.youtube.com/channel/UCcyN1R-WcRVbIGLKMlZCqMA</v>
      </c>
      <c r="U654" s="82"/>
      <c r="V654" s="82" t="s">
        <v>2374</v>
      </c>
      <c r="W654" s="87" t="str">
        <f t="shared" si="29"/>
        <v>https://www.youtube.com/watch?v=UVf2Yw7uFoE</v>
      </c>
      <c r="X654" s="82" t="s">
        <v>2384</v>
      </c>
      <c r="Y654" s="82">
        <v>1</v>
      </c>
      <c r="Z654" s="89">
        <v>45302.45349537037</v>
      </c>
      <c r="AA654" s="89">
        <v>45302.45349537037</v>
      </c>
      <c r="AB654" s="82"/>
      <c r="AC654" s="82"/>
      <c r="AD654" s="85" t="s">
        <v>2423</v>
      </c>
      <c r="AE654" s="84" t="str">
        <f>REPLACE(INDEX(GroupVertices[Group],MATCH("~"&amp;Edges[[#This Row],[Vertex 1]],GroupVertices[Vertex],0)),1,1,"")</f>
        <v>5</v>
      </c>
      <c r="AF654" s="84" t="str">
        <f>REPLACE(INDEX(GroupVertices[Group],MATCH("~"&amp;Edges[[#This Row],[Vertex 2]],GroupVertices[Vertex],0)),1,1,"")</f>
        <v>5</v>
      </c>
    </row>
    <row r="655" spans="1:32" ht="15">
      <c r="A655" s="66" t="s">
        <v>797</v>
      </c>
      <c r="B655" s="66" t="s">
        <v>906</v>
      </c>
      <c r="C655" s="67"/>
      <c r="D655" s="68"/>
      <c r="E655" s="69"/>
      <c r="F655" s="70"/>
      <c r="G655" s="67"/>
      <c r="H655" s="71"/>
      <c r="I655" s="72"/>
      <c r="J655" s="72"/>
      <c r="K655" s="35"/>
      <c r="L655" s="80">
        <v>655</v>
      </c>
      <c r="M655" s="80"/>
      <c r="N655" s="74"/>
      <c r="O655" s="82" t="s">
        <v>909</v>
      </c>
      <c r="P655" s="82" t="s">
        <v>197</v>
      </c>
      <c r="Q655" s="85" t="s">
        <v>1559</v>
      </c>
      <c r="R655" s="82" t="s">
        <v>797</v>
      </c>
      <c r="S655" s="82" t="s">
        <v>2263</v>
      </c>
      <c r="T655" s="87" t="str">
        <f>HYPERLINK("http://www.youtube.com/channel/UCUuELk5eDQtc0ehvlDh4COg")</f>
        <v>http://www.youtube.com/channel/UCUuELk5eDQtc0ehvlDh4COg</v>
      </c>
      <c r="U655" s="82"/>
      <c r="V655" s="82" t="s">
        <v>2374</v>
      </c>
      <c r="W655" s="87" t="str">
        <f t="shared" si="29"/>
        <v>https://www.youtube.com/watch?v=UVf2Yw7uFoE</v>
      </c>
      <c r="X655" s="82" t="s">
        <v>2384</v>
      </c>
      <c r="Y655" s="82">
        <v>0</v>
      </c>
      <c r="Z655" s="89">
        <v>45305.09846064815</v>
      </c>
      <c r="AA655" s="89">
        <v>45305.09846064815</v>
      </c>
      <c r="AB655" s="82"/>
      <c r="AC655" s="82"/>
      <c r="AD655" s="85" t="s">
        <v>2423</v>
      </c>
      <c r="AE655" s="84" t="str">
        <f>REPLACE(INDEX(GroupVertices[Group],MATCH("~"&amp;Edges[[#This Row],[Vertex 1]],GroupVertices[Vertex],0)),1,1,"")</f>
        <v>5</v>
      </c>
      <c r="AF655" s="84" t="str">
        <f>REPLACE(INDEX(GroupVertices[Group],MATCH("~"&amp;Edges[[#This Row],[Vertex 2]],GroupVertices[Vertex],0)),1,1,"")</f>
        <v>5</v>
      </c>
    </row>
    <row r="656" spans="1:32" ht="15">
      <c r="A656" s="66" t="s">
        <v>798</v>
      </c>
      <c r="B656" s="66" t="s">
        <v>906</v>
      </c>
      <c r="C656" s="67"/>
      <c r="D656" s="68"/>
      <c r="E656" s="69"/>
      <c r="F656" s="70"/>
      <c r="G656" s="67"/>
      <c r="H656" s="71"/>
      <c r="I656" s="72"/>
      <c r="J656" s="72"/>
      <c r="K656" s="35"/>
      <c r="L656" s="80">
        <v>656</v>
      </c>
      <c r="M656" s="80"/>
      <c r="N656" s="74"/>
      <c r="O656" s="82" t="s">
        <v>909</v>
      </c>
      <c r="P656" s="82" t="s">
        <v>197</v>
      </c>
      <c r="Q656" s="85" t="s">
        <v>1560</v>
      </c>
      <c r="R656" s="82" t="s">
        <v>798</v>
      </c>
      <c r="S656" s="82" t="s">
        <v>2264</v>
      </c>
      <c r="T656" s="87" t="str">
        <f>HYPERLINK("http://www.youtube.com/channel/UCitUtZMg7YkKGbA03X5eZgg")</f>
        <v>http://www.youtube.com/channel/UCitUtZMg7YkKGbA03X5eZgg</v>
      </c>
      <c r="U656" s="82"/>
      <c r="V656" s="82" t="s">
        <v>2374</v>
      </c>
      <c r="W656" s="87" t="str">
        <f t="shared" si="29"/>
        <v>https://www.youtube.com/watch?v=UVf2Yw7uFoE</v>
      </c>
      <c r="X656" s="82" t="s">
        <v>2384</v>
      </c>
      <c r="Y656" s="82">
        <v>1</v>
      </c>
      <c r="Z656" s="89">
        <v>45305.84228009259</v>
      </c>
      <c r="AA656" s="89">
        <v>45305.84228009259</v>
      </c>
      <c r="AB656" s="82"/>
      <c r="AC656" s="82"/>
      <c r="AD656" s="85" t="s">
        <v>2423</v>
      </c>
      <c r="AE656" s="84" t="str">
        <f>REPLACE(INDEX(GroupVertices[Group],MATCH("~"&amp;Edges[[#This Row],[Vertex 1]],GroupVertices[Vertex],0)),1,1,"")</f>
        <v>5</v>
      </c>
      <c r="AF656" s="84" t="str">
        <f>REPLACE(INDEX(GroupVertices[Group],MATCH("~"&amp;Edges[[#This Row],[Vertex 2]],GroupVertices[Vertex],0)),1,1,"")</f>
        <v>5</v>
      </c>
    </row>
    <row r="657" spans="1:32" ht="15">
      <c r="A657" s="66" t="s">
        <v>799</v>
      </c>
      <c r="B657" s="66" t="s">
        <v>906</v>
      </c>
      <c r="C657" s="67"/>
      <c r="D657" s="68"/>
      <c r="E657" s="69"/>
      <c r="F657" s="70"/>
      <c r="G657" s="67"/>
      <c r="H657" s="71"/>
      <c r="I657" s="72"/>
      <c r="J657" s="72"/>
      <c r="K657" s="35"/>
      <c r="L657" s="80">
        <v>657</v>
      </c>
      <c r="M657" s="80"/>
      <c r="N657" s="74"/>
      <c r="O657" s="82" t="s">
        <v>909</v>
      </c>
      <c r="P657" s="82" t="s">
        <v>197</v>
      </c>
      <c r="Q657" s="85" t="s">
        <v>1561</v>
      </c>
      <c r="R657" s="82" t="s">
        <v>799</v>
      </c>
      <c r="S657" s="82" t="s">
        <v>2265</v>
      </c>
      <c r="T657" s="87" t="str">
        <f>HYPERLINK("http://www.youtube.com/channel/UC_mCddWqF_0rbfCpf3-G7MQ")</f>
        <v>http://www.youtube.com/channel/UC_mCddWqF_0rbfCpf3-G7MQ</v>
      </c>
      <c r="U657" s="82"/>
      <c r="V657" s="82" t="s">
        <v>2374</v>
      </c>
      <c r="W657" s="87" t="str">
        <f t="shared" si="29"/>
        <v>https://www.youtube.com/watch?v=UVf2Yw7uFoE</v>
      </c>
      <c r="X657" s="82" t="s">
        <v>2384</v>
      </c>
      <c r="Y657" s="82">
        <v>0</v>
      </c>
      <c r="Z657" s="89">
        <v>45306.12835648148</v>
      </c>
      <c r="AA657" s="89">
        <v>45306.12835648148</v>
      </c>
      <c r="AB657" s="82"/>
      <c r="AC657" s="82"/>
      <c r="AD657" s="85" t="s">
        <v>2423</v>
      </c>
      <c r="AE657" s="84" t="str">
        <f>REPLACE(INDEX(GroupVertices[Group],MATCH("~"&amp;Edges[[#This Row],[Vertex 1]],GroupVertices[Vertex],0)),1,1,"")</f>
        <v>5</v>
      </c>
      <c r="AF657" s="84" t="str">
        <f>REPLACE(INDEX(GroupVertices[Group],MATCH("~"&amp;Edges[[#This Row],[Vertex 2]],GroupVertices[Vertex],0)),1,1,"")</f>
        <v>5</v>
      </c>
    </row>
    <row r="658" spans="1:32" ht="15">
      <c r="A658" s="66" t="s">
        <v>800</v>
      </c>
      <c r="B658" s="66" t="s">
        <v>901</v>
      </c>
      <c r="C658" s="67"/>
      <c r="D658" s="68"/>
      <c r="E658" s="69"/>
      <c r="F658" s="70"/>
      <c r="G658" s="67"/>
      <c r="H658" s="71"/>
      <c r="I658" s="72"/>
      <c r="J658" s="72"/>
      <c r="K658" s="35"/>
      <c r="L658" s="80">
        <v>658</v>
      </c>
      <c r="M658" s="80"/>
      <c r="N658" s="74"/>
      <c r="O658" s="82" t="s">
        <v>909</v>
      </c>
      <c r="P658" s="82" t="s">
        <v>197</v>
      </c>
      <c r="Q658" s="85" t="s">
        <v>1562</v>
      </c>
      <c r="R658" s="82" t="s">
        <v>800</v>
      </c>
      <c r="S658" s="82" t="s">
        <v>2266</v>
      </c>
      <c r="T658" s="87" t="str">
        <f>HYPERLINK("http://www.youtube.com/channel/UCIDo_eCjT9all0nafyhMOzA")</f>
        <v>http://www.youtube.com/channel/UCIDo_eCjT9all0nafyhMOzA</v>
      </c>
      <c r="U658" s="82"/>
      <c r="V658" s="82" t="s">
        <v>2368</v>
      </c>
      <c r="W658" s="87" t="str">
        <f>HYPERLINK("https://www.youtube.com/watch?v=gLvkWpnzba8")</f>
        <v>https://www.youtube.com/watch?v=gLvkWpnzba8</v>
      </c>
      <c r="X658" s="82" t="s">
        <v>2384</v>
      </c>
      <c r="Y658" s="82">
        <v>2</v>
      </c>
      <c r="Z658" s="89">
        <v>45306.310625</v>
      </c>
      <c r="AA658" s="89">
        <v>45306.310625</v>
      </c>
      <c r="AB658" s="82"/>
      <c r="AC658" s="82"/>
      <c r="AD658" s="85" t="s">
        <v>2423</v>
      </c>
      <c r="AE658" s="84" t="str">
        <f>REPLACE(INDEX(GroupVertices[Group],MATCH("~"&amp;Edges[[#This Row],[Vertex 1]],GroupVertices[Vertex],0)),1,1,"")</f>
        <v>5</v>
      </c>
      <c r="AF658" s="84" t="str">
        <f>REPLACE(INDEX(GroupVertices[Group],MATCH("~"&amp;Edges[[#This Row],[Vertex 2]],GroupVertices[Vertex],0)),1,1,"")</f>
        <v>6</v>
      </c>
    </row>
    <row r="659" spans="1:32" ht="15">
      <c r="A659" s="66" t="s">
        <v>800</v>
      </c>
      <c r="B659" s="66" t="s">
        <v>906</v>
      </c>
      <c r="C659" s="67"/>
      <c r="D659" s="68"/>
      <c r="E659" s="69"/>
      <c r="F659" s="70"/>
      <c r="G659" s="67"/>
      <c r="H659" s="71"/>
      <c r="I659" s="72"/>
      <c r="J659" s="72"/>
      <c r="K659" s="35"/>
      <c r="L659" s="80">
        <v>659</v>
      </c>
      <c r="M659" s="80"/>
      <c r="N659" s="74"/>
      <c r="O659" s="82" t="s">
        <v>909</v>
      </c>
      <c r="P659" s="82" t="s">
        <v>197</v>
      </c>
      <c r="Q659" s="85" t="s">
        <v>1563</v>
      </c>
      <c r="R659" s="82" t="s">
        <v>800</v>
      </c>
      <c r="S659" s="82" t="s">
        <v>2266</v>
      </c>
      <c r="T659" s="87" t="str">
        <f>HYPERLINK("http://www.youtube.com/channel/UCIDo_eCjT9all0nafyhMOzA")</f>
        <v>http://www.youtube.com/channel/UCIDo_eCjT9all0nafyhMOzA</v>
      </c>
      <c r="U659" s="82"/>
      <c r="V659" s="82" t="s">
        <v>2374</v>
      </c>
      <c r="W659" s="87" t="str">
        <f>HYPERLINK("https://www.youtube.com/watch?v=UVf2Yw7uFoE")</f>
        <v>https://www.youtube.com/watch?v=UVf2Yw7uFoE</v>
      </c>
      <c r="X659" s="82" t="s">
        <v>2384</v>
      </c>
      <c r="Y659" s="82">
        <v>2</v>
      </c>
      <c r="Z659" s="89">
        <v>45306.31265046296</v>
      </c>
      <c r="AA659" s="89">
        <v>45306.31265046296</v>
      </c>
      <c r="AB659" s="82"/>
      <c r="AC659" s="82"/>
      <c r="AD659" s="85" t="s">
        <v>2423</v>
      </c>
      <c r="AE659" s="84" t="str">
        <f>REPLACE(INDEX(GroupVertices[Group],MATCH("~"&amp;Edges[[#This Row],[Vertex 1]],GroupVertices[Vertex],0)),1,1,"")</f>
        <v>5</v>
      </c>
      <c r="AF659" s="84" t="str">
        <f>REPLACE(INDEX(GroupVertices[Group],MATCH("~"&amp;Edges[[#This Row],[Vertex 2]],GroupVertices[Vertex],0)),1,1,"")</f>
        <v>5</v>
      </c>
    </row>
    <row r="660" spans="1:32" ht="15">
      <c r="A660" s="66" t="s">
        <v>801</v>
      </c>
      <c r="B660" s="66" t="s">
        <v>906</v>
      </c>
      <c r="C660" s="67"/>
      <c r="D660" s="68"/>
      <c r="E660" s="69"/>
      <c r="F660" s="70"/>
      <c r="G660" s="67"/>
      <c r="H660" s="71"/>
      <c r="I660" s="72"/>
      <c r="J660" s="72"/>
      <c r="K660" s="35"/>
      <c r="L660" s="80">
        <v>660</v>
      </c>
      <c r="M660" s="80"/>
      <c r="N660" s="74"/>
      <c r="O660" s="82" t="s">
        <v>909</v>
      </c>
      <c r="P660" s="82" t="s">
        <v>197</v>
      </c>
      <c r="Q660" s="85" t="s">
        <v>1564</v>
      </c>
      <c r="R660" s="82" t="s">
        <v>801</v>
      </c>
      <c r="S660" s="82" t="s">
        <v>2267</v>
      </c>
      <c r="T660" s="87" t="str">
        <f>HYPERLINK("http://www.youtube.com/channel/UCuHJai7fKxggMc6yiYWcSgg")</f>
        <v>http://www.youtube.com/channel/UCuHJai7fKxggMc6yiYWcSgg</v>
      </c>
      <c r="U660" s="82"/>
      <c r="V660" s="82" t="s">
        <v>2374</v>
      </c>
      <c r="W660" s="87" t="str">
        <f>HYPERLINK("https://www.youtube.com/watch?v=UVf2Yw7uFoE")</f>
        <v>https://www.youtube.com/watch?v=UVf2Yw7uFoE</v>
      </c>
      <c r="X660" s="82" t="s">
        <v>2384</v>
      </c>
      <c r="Y660" s="82">
        <v>0</v>
      </c>
      <c r="Z660" s="89">
        <v>45307.21931712963</v>
      </c>
      <c r="AA660" s="89">
        <v>45307.21931712963</v>
      </c>
      <c r="AB660" s="82"/>
      <c r="AC660" s="82"/>
      <c r="AD660" s="85" t="s">
        <v>2423</v>
      </c>
      <c r="AE660" s="84" t="str">
        <f>REPLACE(INDEX(GroupVertices[Group],MATCH("~"&amp;Edges[[#This Row],[Vertex 1]],GroupVertices[Vertex],0)),1,1,"")</f>
        <v>5</v>
      </c>
      <c r="AF660" s="84" t="str">
        <f>REPLACE(INDEX(GroupVertices[Group],MATCH("~"&amp;Edges[[#This Row],[Vertex 2]],GroupVertices[Vertex],0)),1,1,"")</f>
        <v>5</v>
      </c>
    </row>
    <row r="661" spans="1:32" ht="15">
      <c r="A661" s="66" t="s">
        <v>802</v>
      </c>
      <c r="B661" s="66" t="s">
        <v>906</v>
      </c>
      <c r="C661" s="67"/>
      <c r="D661" s="68"/>
      <c r="E661" s="69"/>
      <c r="F661" s="70"/>
      <c r="G661" s="67"/>
      <c r="H661" s="71"/>
      <c r="I661" s="72"/>
      <c r="J661" s="72"/>
      <c r="K661" s="35"/>
      <c r="L661" s="80">
        <v>661</v>
      </c>
      <c r="M661" s="80"/>
      <c r="N661" s="74"/>
      <c r="O661" s="82" t="s">
        <v>909</v>
      </c>
      <c r="P661" s="82" t="s">
        <v>197</v>
      </c>
      <c r="Q661" s="85" t="s">
        <v>1565</v>
      </c>
      <c r="R661" s="82" t="s">
        <v>802</v>
      </c>
      <c r="S661" s="82" t="s">
        <v>2268</v>
      </c>
      <c r="T661" s="87" t="str">
        <f>HYPERLINK("http://www.youtube.com/channel/UCxDq5oYgSZ5lYZDIlfxgH7Q")</f>
        <v>http://www.youtube.com/channel/UCxDq5oYgSZ5lYZDIlfxgH7Q</v>
      </c>
      <c r="U661" s="82"/>
      <c r="V661" s="82" t="s">
        <v>2374</v>
      </c>
      <c r="W661" s="87" t="str">
        <f>HYPERLINK("https://www.youtube.com/watch?v=UVf2Yw7uFoE")</f>
        <v>https://www.youtube.com/watch?v=UVf2Yw7uFoE</v>
      </c>
      <c r="X661" s="82" t="s">
        <v>2384</v>
      </c>
      <c r="Y661" s="82">
        <v>0</v>
      </c>
      <c r="Z661" s="89">
        <v>45308.400613425925</v>
      </c>
      <c r="AA661" s="89">
        <v>45308.400613425925</v>
      </c>
      <c r="AB661" s="82"/>
      <c r="AC661" s="82"/>
      <c r="AD661" s="85" t="s">
        <v>2423</v>
      </c>
      <c r="AE661" s="84" t="str">
        <f>REPLACE(INDEX(GroupVertices[Group],MATCH("~"&amp;Edges[[#This Row],[Vertex 1]],GroupVertices[Vertex],0)),1,1,"")</f>
        <v>5</v>
      </c>
      <c r="AF661" s="84" t="str">
        <f>REPLACE(INDEX(GroupVertices[Group],MATCH("~"&amp;Edges[[#This Row],[Vertex 2]],GroupVertices[Vertex],0)),1,1,"")</f>
        <v>5</v>
      </c>
    </row>
    <row r="662" spans="1:32" ht="15">
      <c r="A662" s="66" t="s">
        <v>803</v>
      </c>
      <c r="B662" s="66" t="s">
        <v>906</v>
      </c>
      <c r="C662" s="67"/>
      <c r="D662" s="68"/>
      <c r="E662" s="69"/>
      <c r="F662" s="70"/>
      <c r="G662" s="67"/>
      <c r="H662" s="71"/>
      <c r="I662" s="72"/>
      <c r="J662" s="72"/>
      <c r="K662" s="35"/>
      <c r="L662" s="80">
        <v>662</v>
      </c>
      <c r="M662" s="80"/>
      <c r="N662" s="74"/>
      <c r="O662" s="82" t="s">
        <v>909</v>
      </c>
      <c r="P662" s="82" t="s">
        <v>197</v>
      </c>
      <c r="Q662" s="85" t="s">
        <v>1566</v>
      </c>
      <c r="R662" s="82" t="s">
        <v>803</v>
      </c>
      <c r="S662" s="82" t="s">
        <v>2269</v>
      </c>
      <c r="T662" s="87" t="str">
        <f>HYPERLINK("http://www.youtube.com/channel/UCzCEWI2FWjnjwjTzC7tPjOA")</f>
        <v>http://www.youtube.com/channel/UCzCEWI2FWjnjwjTzC7tPjOA</v>
      </c>
      <c r="U662" s="82"/>
      <c r="V662" s="82" t="s">
        <v>2374</v>
      </c>
      <c r="W662" s="87" t="str">
        <f>HYPERLINK("https://www.youtube.com/watch?v=UVf2Yw7uFoE")</f>
        <v>https://www.youtube.com/watch?v=UVf2Yw7uFoE</v>
      </c>
      <c r="X662" s="82" t="s">
        <v>2384</v>
      </c>
      <c r="Y662" s="82">
        <v>0</v>
      </c>
      <c r="Z662" s="89">
        <v>45309.059270833335</v>
      </c>
      <c r="AA662" s="89">
        <v>45309.059270833335</v>
      </c>
      <c r="AB662" s="82" t="s">
        <v>2409</v>
      </c>
      <c r="AC662" s="82" t="s">
        <v>2414</v>
      </c>
      <c r="AD662" s="85" t="s">
        <v>2423</v>
      </c>
      <c r="AE662" s="84" t="str">
        <f>REPLACE(INDEX(GroupVertices[Group],MATCH("~"&amp;Edges[[#This Row],[Vertex 1]],GroupVertices[Vertex],0)),1,1,"")</f>
        <v>5</v>
      </c>
      <c r="AF662" s="84" t="str">
        <f>REPLACE(INDEX(GroupVertices[Group],MATCH("~"&amp;Edges[[#This Row],[Vertex 2]],GroupVertices[Vertex],0)),1,1,"")</f>
        <v>5</v>
      </c>
    </row>
    <row r="663" spans="1:32" ht="15">
      <c r="A663" s="66" t="s">
        <v>804</v>
      </c>
      <c r="B663" s="66" t="s">
        <v>901</v>
      </c>
      <c r="C663" s="67"/>
      <c r="D663" s="68"/>
      <c r="E663" s="69"/>
      <c r="F663" s="70"/>
      <c r="G663" s="67"/>
      <c r="H663" s="71"/>
      <c r="I663" s="72"/>
      <c r="J663" s="72"/>
      <c r="K663" s="35"/>
      <c r="L663" s="80">
        <v>663</v>
      </c>
      <c r="M663" s="80"/>
      <c r="N663" s="74"/>
      <c r="O663" s="82" t="s">
        <v>909</v>
      </c>
      <c r="P663" s="82" t="s">
        <v>197</v>
      </c>
      <c r="Q663" s="85" t="s">
        <v>1567</v>
      </c>
      <c r="R663" s="82" t="s">
        <v>804</v>
      </c>
      <c r="S663" s="82" t="s">
        <v>2270</v>
      </c>
      <c r="T663" s="87" t="str">
        <f>HYPERLINK("http://www.youtube.com/channel/UC6QgxSH_fB1NzzCao4-dfvg")</f>
        <v>http://www.youtube.com/channel/UC6QgxSH_fB1NzzCao4-dfvg</v>
      </c>
      <c r="U663" s="82"/>
      <c r="V663" s="82" t="s">
        <v>2368</v>
      </c>
      <c r="W663" s="87" t="str">
        <f>HYPERLINK("https://www.youtube.com/watch?v=gLvkWpnzba8")</f>
        <v>https://www.youtube.com/watch?v=gLvkWpnzba8</v>
      </c>
      <c r="X663" s="82" t="s">
        <v>2384</v>
      </c>
      <c r="Y663" s="82">
        <v>0</v>
      </c>
      <c r="Z663" s="89">
        <v>45270.42834490741</v>
      </c>
      <c r="AA663" s="89">
        <v>45270.42834490741</v>
      </c>
      <c r="AB663" s="82"/>
      <c r="AC663" s="82"/>
      <c r="AD663" s="85" t="s">
        <v>2423</v>
      </c>
      <c r="AE663" s="84" t="str">
        <f>REPLACE(INDEX(GroupVertices[Group],MATCH("~"&amp;Edges[[#This Row],[Vertex 1]],GroupVertices[Vertex],0)),1,1,"")</f>
        <v>5</v>
      </c>
      <c r="AF663" s="84" t="str">
        <f>REPLACE(INDEX(GroupVertices[Group],MATCH("~"&amp;Edges[[#This Row],[Vertex 2]],GroupVertices[Vertex],0)),1,1,"")</f>
        <v>6</v>
      </c>
    </row>
    <row r="664" spans="1:32" ht="15">
      <c r="A664" s="66" t="s">
        <v>804</v>
      </c>
      <c r="B664" s="66" t="s">
        <v>906</v>
      </c>
      <c r="C664" s="67"/>
      <c r="D664" s="68"/>
      <c r="E664" s="69"/>
      <c r="F664" s="70"/>
      <c r="G664" s="67"/>
      <c r="H664" s="71"/>
      <c r="I664" s="72"/>
      <c r="J664" s="72"/>
      <c r="K664" s="35"/>
      <c r="L664" s="80">
        <v>664</v>
      </c>
      <c r="M664" s="80"/>
      <c r="N664" s="74"/>
      <c r="O664" s="82" t="s">
        <v>909</v>
      </c>
      <c r="P664" s="82" t="s">
        <v>197</v>
      </c>
      <c r="Q664" s="85" t="s">
        <v>1568</v>
      </c>
      <c r="R664" s="82" t="s">
        <v>804</v>
      </c>
      <c r="S664" s="82" t="s">
        <v>2270</v>
      </c>
      <c r="T664" s="87" t="str">
        <f>HYPERLINK("http://www.youtube.com/channel/UC6QgxSH_fB1NzzCao4-dfvg")</f>
        <v>http://www.youtube.com/channel/UC6QgxSH_fB1NzzCao4-dfvg</v>
      </c>
      <c r="U664" s="82"/>
      <c r="V664" s="82" t="s">
        <v>2374</v>
      </c>
      <c r="W664" s="87" t="str">
        <f>HYPERLINK("https://www.youtube.com/watch?v=UVf2Yw7uFoE")</f>
        <v>https://www.youtube.com/watch?v=UVf2Yw7uFoE</v>
      </c>
      <c r="X664" s="82" t="s">
        <v>2384</v>
      </c>
      <c r="Y664" s="82">
        <v>0</v>
      </c>
      <c r="Z664" s="89">
        <v>45310.48049768519</v>
      </c>
      <c r="AA664" s="89">
        <v>45310.48049768519</v>
      </c>
      <c r="AB664" s="82"/>
      <c r="AC664" s="82"/>
      <c r="AD664" s="85" t="s">
        <v>2423</v>
      </c>
      <c r="AE664" s="84" t="str">
        <f>REPLACE(INDEX(GroupVertices[Group],MATCH("~"&amp;Edges[[#This Row],[Vertex 1]],GroupVertices[Vertex],0)),1,1,"")</f>
        <v>5</v>
      </c>
      <c r="AF664" s="84" t="str">
        <f>REPLACE(INDEX(GroupVertices[Group],MATCH("~"&amp;Edges[[#This Row],[Vertex 2]],GroupVertices[Vertex],0)),1,1,"")</f>
        <v>5</v>
      </c>
    </row>
    <row r="665" spans="1:32" ht="15">
      <c r="A665" s="66" t="s">
        <v>805</v>
      </c>
      <c r="B665" s="66" t="s">
        <v>906</v>
      </c>
      <c r="C665" s="67"/>
      <c r="D665" s="68"/>
      <c r="E665" s="69"/>
      <c r="F665" s="70"/>
      <c r="G665" s="67"/>
      <c r="H665" s="71"/>
      <c r="I665" s="72"/>
      <c r="J665" s="72"/>
      <c r="K665" s="35"/>
      <c r="L665" s="80">
        <v>665</v>
      </c>
      <c r="M665" s="80"/>
      <c r="N665" s="74"/>
      <c r="O665" s="82" t="s">
        <v>909</v>
      </c>
      <c r="P665" s="82" t="s">
        <v>197</v>
      </c>
      <c r="Q665" s="85" t="s">
        <v>1569</v>
      </c>
      <c r="R665" s="82" t="s">
        <v>805</v>
      </c>
      <c r="S665" s="82" t="s">
        <v>2271</v>
      </c>
      <c r="T665" s="87" t="str">
        <f>HYPERLINK("http://www.youtube.com/channel/UCSmwQnw6cuW8Yo8keYBq1OA")</f>
        <v>http://www.youtube.com/channel/UCSmwQnw6cuW8Yo8keYBq1OA</v>
      </c>
      <c r="U665" s="82"/>
      <c r="V665" s="82" t="s">
        <v>2374</v>
      </c>
      <c r="W665" s="87" t="str">
        <f>HYPERLINK("https://www.youtube.com/watch?v=UVf2Yw7uFoE")</f>
        <v>https://www.youtube.com/watch?v=UVf2Yw7uFoE</v>
      </c>
      <c r="X665" s="82" t="s">
        <v>2384</v>
      </c>
      <c r="Y665" s="82">
        <v>0</v>
      </c>
      <c r="Z665" s="89">
        <v>45310.56783564815</v>
      </c>
      <c r="AA665" s="89">
        <v>45310.56783564815</v>
      </c>
      <c r="AB665" s="82"/>
      <c r="AC665" s="82"/>
      <c r="AD665" s="85" t="s">
        <v>2423</v>
      </c>
      <c r="AE665" s="84" t="str">
        <f>REPLACE(INDEX(GroupVertices[Group],MATCH("~"&amp;Edges[[#This Row],[Vertex 1]],GroupVertices[Vertex],0)),1,1,"")</f>
        <v>5</v>
      </c>
      <c r="AF665" s="84" t="str">
        <f>REPLACE(INDEX(GroupVertices[Group],MATCH("~"&amp;Edges[[#This Row],[Vertex 2]],GroupVertices[Vertex],0)),1,1,"")</f>
        <v>5</v>
      </c>
    </row>
    <row r="666" spans="1:32" ht="15">
      <c r="A666" s="66" t="s">
        <v>806</v>
      </c>
      <c r="B666" s="66" t="s">
        <v>906</v>
      </c>
      <c r="C666" s="67"/>
      <c r="D666" s="68"/>
      <c r="E666" s="69"/>
      <c r="F666" s="70"/>
      <c r="G666" s="67"/>
      <c r="H666" s="71"/>
      <c r="I666" s="72"/>
      <c r="J666" s="72"/>
      <c r="K666" s="35"/>
      <c r="L666" s="80">
        <v>666</v>
      </c>
      <c r="M666" s="80"/>
      <c r="N666" s="74"/>
      <c r="O666" s="82" t="s">
        <v>909</v>
      </c>
      <c r="P666" s="82" t="s">
        <v>197</v>
      </c>
      <c r="Q666" s="85" t="s">
        <v>1570</v>
      </c>
      <c r="R666" s="82" t="s">
        <v>806</v>
      </c>
      <c r="S666" s="82" t="s">
        <v>2272</v>
      </c>
      <c r="T666" s="87" t="str">
        <f>HYPERLINK("http://www.youtube.com/channel/UCbDONk2KZUWxtm6ufQfJltA")</f>
        <v>http://www.youtube.com/channel/UCbDONk2KZUWxtm6ufQfJltA</v>
      </c>
      <c r="U666" s="82"/>
      <c r="V666" s="82" t="s">
        <v>2374</v>
      </c>
      <c r="W666" s="87" t="str">
        <f>HYPERLINK("https://www.youtube.com/watch?v=UVf2Yw7uFoE")</f>
        <v>https://www.youtube.com/watch?v=UVf2Yw7uFoE</v>
      </c>
      <c r="X666" s="82" t="s">
        <v>2384</v>
      </c>
      <c r="Y666" s="82">
        <v>0</v>
      </c>
      <c r="Z666" s="89">
        <v>45310.960543981484</v>
      </c>
      <c r="AA666" s="89">
        <v>45310.960543981484</v>
      </c>
      <c r="AB666" s="82"/>
      <c r="AC666" s="82"/>
      <c r="AD666" s="85" t="s">
        <v>2423</v>
      </c>
      <c r="AE666" s="84" t="str">
        <f>REPLACE(INDEX(GroupVertices[Group],MATCH("~"&amp;Edges[[#This Row],[Vertex 1]],GroupVertices[Vertex],0)),1,1,"")</f>
        <v>5</v>
      </c>
      <c r="AF666" s="84" t="str">
        <f>REPLACE(INDEX(GroupVertices[Group],MATCH("~"&amp;Edges[[#This Row],[Vertex 2]],GroupVertices[Vertex],0)),1,1,"")</f>
        <v>5</v>
      </c>
    </row>
    <row r="667" spans="1:32" ht="15">
      <c r="A667" s="66" t="s">
        <v>807</v>
      </c>
      <c r="B667" s="66" t="s">
        <v>907</v>
      </c>
      <c r="C667" s="67"/>
      <c r="D667" s="68"/>
      <c r="E667" s="69"/>
      <c r="F667" s="70"/>
      <c r="G667" s="67"/>
      <c r="H667" s="71"/>
      <c r="I667" s="72"/>
      <c r="J667" s="72"/>
      <c r="K667" s="35"/>
      <c r="L667" s="80">
        <v>667</v>
      </c>
      <c r="M667" s="80"/>
      <c r="N667" s="74"/>
      <c r="O667" s="82" t="s">
        <v>909</v>
      </c>
      <c r="P667" s="82" t="s">
        <v>197</v>
      </c>
      <c r="Q667" s="85" t="s">
        <v>1571</v>
      </c>
      <c r="R667" s="82" t="s">
        <v>807</v>
      </c>
      <c r="S667" s="82" t="s">
        <v>2273</v>
      </c>
      <c r="T667" s="87" t="str">
        <f>HYPERLINK("http://www.youtube.com/channel/UCuuU-qRdyG7Gjw9xk_bhE8A")</f>
        <v>http://www.youtube.com/channel/UCuuU-qRdyG7Gjw9xk_bhE8A</v>
      </c>
      <c r="U667" s="82"/>
      <c r="V667" s="82" t="s">
        <v>2375</v>
      </c>
      <c r="W667" s="87" t="str">
        <f aca="true" t="shared" si="30" ref="W667:W699">HYPERLINK("https://www.youtube.com/watch?v=75c-kHKv0O4")</f>
        <v>https://www.youtube.com/watch?v=75c-kHKv0O4</v>
      </c>
      <c r="X667" s="82" t="s">
        <v>2384</v>
      </c>
      <c r="Y667" s="82">
        <v>2</v>
      </c>
      <c r="Z667" s="89">
        <v>45194.29523148148</v>
      </c>
      <c r="AA667" s="89">
        <v>45194.29523148148</v>
      </c>
      <c r="AB667" s="82"/>
      <c r="AC667" s="82"/>
      <c r="AD667" s="85" t="s">
        <v>2423</v>
      </c>
      <c r="AE667" s="84" t="str">
        <f>REPLACE(INDEX(GroupVertices[Group],MATCH("~"&amp;Edges[[#This Row],[Vertex 1]],GroupVertices[Vertex],0)),1,1,"")</f>
        <v>1</v>
      </c>
      <c r="AF667" s="84" t="str">
        <f>REPLACE(INDEX(GroupVertices[Group],MATCH("~"&amp;Edges[[#This Row],[Vertex 2]],GroupVertices[Vertex],0)),1,1,"")</f>
        <v>1</v>
      </c>
    </row>
    <row r="668" spans="1:32" ht="15">
      <c r="A668" s="66" t="s">
        <v>808</v>
      </c>
      <c r="B668" s="66" t="s">
        <v>907</v>
      </c>
      <c r="C668" s="67"/>
      <c r="D668" s="68"/>
      <c r="E668" s="69"/>
      <c r="F668" s="70"/>
      <c r="G668" s="67"/>
      <c r="H668" s="71"/>
      <c r="I668" s="72"/>
      <c r="J668" s="72"/>
      <c r="K668" s="35"/>
      <c r="L668" s="80">
        <v>668</v>
      </c>
      <c r="M668" s="80"/>
      <c r="N668" s="74"/>
      <c r="O668" s="82" t="s">
        <v>909</v>
      </c>
      <c r="P668" s="82" t="s">
        <v>197</v>
      </c>
      <c r="Q668" s="85" t="s">
        <v>1572</v>
      </c>
      <c r="R668" s="82" t="s">
        <v>808</v>
      </c>
      <c r="S668" s="82" t="s">
        <v>2274</v>
      </c>
      <c r="T668" s="87" t="str">
        <f>HYPERLINK("http://www.youtube.com/channel/UCjJ8ME_6E1jiK184MBdjXBQ")</f>
        <v>http://www.youtube.com/channel/UCjJ8ME_6E1jiK184MBdjXBQ</v>
      </c>
      <c r="U668" s="82"/>
      <c r="V668" s="82" t="s">
        <v>2375</v>
      </c>
      <c r="W668" s="87" t="str">
        <f t="shared" si="30"/>
        <v>https://www.youtube.com/watch?v=75c-kHKv0O4</v>
      </c>
      <c r="X668" s="82" t="s">
        <v>2384</v>
      </c>
      <c r="Y668" s="82">
        <v>0</v>
      </c>
      <c r="Z668" s="89">
        <v>45194.33594907408</v>
      </c>
      <c r="AA668" s="89">
        <v>45194.33594907408</v>
      </c>
      <c r="AB668" s="82"/>
      <c r="AC668" s="82"/>
      <c r="AD668" s="85" t="s">
        <v>2423</v>
      </c>
      <c r="AE668" s="84" t="str">
        <f>REPLACE(INDEX(GroupVertices[Group],MATCH("~"&amp;Edges[[#This Row],[Vertex 1]],GroupVertices[Vertex],0)),1,1,"")</f>
        <v>1</v>
      </c>
      <c r="AF668" s="84" t="str">
        <f>REPLACE(INDEX(GroupVertices[Group],MATCH("~"&amp;Edges[[#This Row],[Vertex 2]],GroupVertices[Vertex],0)),1,1,"")</f>
        <v>1</v>
      </c>
    </row>
    <row r="669" spans="1:32" ht="15">
      <c r="A669" s="66" t="s">
        <v>809</v>
      </c>
      <c r="B669" s="66" t="s">
        <v>907</v>
      </c>
      <c r="C669" s="67"/>
      <c r="D669" s="68"/>
      <c r="E669" s="69"/>
      <c r="F669" s="70"/>
      <c r="G669" s="67"/>
      <c r="H669" s="71"/>
      <c r="I669" s="72"/>
      <c r="J669" s="72"/>
      <c r="K669" s="35"/>
      <c r="L669" s="80">
        <v>669</v>
      </c>
      <c r="M669" s="80"/>
      <c r="N669" s="74"/>
      <c r="O669" s="82" t="s">
        <v>909</v>
      </c>
      <c r="P669" s="82" t="s">
        <v>197</v>
      </c>
      <c r="Q669" s="85" t="s">
        <v>1573</v>
      </c>
      <c r="R669" s="82" t="s">
        <v>809</v>
      </c>
      <c r="S669" s="82" t="s">
        <v>2275</v>
      </c>
      <c r="T669" s="87" t="str">
        <f>HYPERLINK("http://www.youtube.com/channel/UCgCWX0zfngoPwIYqW9cVJWg")</f>
        <v>http://www.youtube.com/channel/UCgCWX0zfngoPwIYqW9cVJWg</v>
      </c>
      <c r="U669" s="82"/>
      <c r="V669" s="82" t="s">
        <v>2375</v>
      </c>
      <c r="W669" s="87" t="str">
        <f t="shared" si="30"/>
        <v>https://www.youtube.com/watch?v=75c-kHKv0O4</v>
      </c>
      <c r="X669" s="82" t="s">
        <v>2384</v>
      </c>
      <c r="Y669" s="82">
        <v>0</v>
      </c>
      <c r="Z669" s="89">
        <v>45194.594618055555</v>
      </c>
      <c r="AA669" s="89">
        <v>45194.594618055555</v>
      </c>
      <c r="AB669" s="82"/>
      <c r="AC669" s="82"/>
      <c r="AD669" s="85" t="s">
        <v>2423</v>
      </c>
      <c r="AE669" s="84" t="str">
        <f>REPLACE(INDEX(GroupVertices[Group],MATCH("~"&amp;Edges[[#This Row],[Vertex 1]],GroupVertices[Vertex],0)),1,1,"")</f>
        <v>1</v>
      </c>
      <c r="AF669" s="84" t="str">
        <f>REPLACE(INDEX(GroupVertices[Group],MATCH("~"&amp;Edges[[#This Row],[Vertex 2]],GroupVertices[Vertex],0)),1,1,"")</f>
        <v>1</v>
      </c>
    </row>
    <row r="670" spans="1:32" ht="15">
      <c r="A670" s="66" t="s">
        <v>810</v>
      </c>
      <c r="B670" s="66" t="s">
        <v>907</v>
      </c>
      <c r="C670" s="67"/>
      <c r="D670" s="68"/>
      <c r="E670" s="69"/>
      <c r="F670" s="70"/>
      <c r="G670" s="67"/>
      <c r="H670" s="71"/>
      <c r="I670" s="72"/>
      <c r="J670" s="72"/>
      <c r="K670" s="35"/>
      <c r="L670" s="80">
        <v>670</v>
      </c>
      <c r="M670" s="80"/>
      <c r="N670" s="74"/>
      <c r="O670" s="82" t="s">
        <v>909</v>
      </c>
      <c r="P670" s="82" t="s">
        <v>197</v>
      </c>
      <c r="Q670" s="85" t="s">
        <v>1574</v>
      </c>
      <c r="R670" s="82" t="s">
        <v>810</v>
      </c>
      <c r="S670" s="82" t="s">
        <v>2276</v>
      </c>
      <c r="T670" s="87" t="str">
        <f>HYPERLINK("http://www.youtube.com/channel/UCrkgxJFRkPcQHvAOD6g8nFA")</f>
        <v>http://www.youtube.com/channel/UCrkgxJFRkPcQHvAOD6g8nFA</v>
      </c>
      <c r="U670" s="82"/>
      <c r="V670" s="82" t="s">
        <v>2375</v>
      </c>
      <c r="W670" s="87" t="str">
        <f t="shared" si="30"/>
        <v>https://www.youtube.com/watch?v=75c-kHKv0O4</v>
      </c>
      <c r="X670" s="82" t="s">
        <v>2384</v>
      </c>
      <c r="Y670" s="82">
        <v>1</v>
      </c>
      <c r="Z670" s="89">
        <v>45195.02741898148</v>
      </c>
      <c r="AA670" s="89">
        <v>45195.02741898148</v>
      </c>
      <c r="AB670" s="82"/>
      <c r="AC670" s="82"/>
      <c r="AD670" s="85" t="s">
        <v>2423</v>
      </c>
      <c r="AE670" s="84" t="str">
        <f>REPLACE(INDEX(GroupVertices[Group],MATCH("~"&amp;Edges[[#This Row],[Vertex 1]],GroupVertices[Vertex],0)),1,1,"")</f>
        <v>1</v>
      </c>
      <c r="AF670" s="84" t="str">
        <f>REPLACE(INDEX(GroupVertices[Group],MATCH("~"&amp;Edges[[#This Row],[Vertex 2]],GroupVertices[Vertex],0)),1,1,"")</f>
        <v>1</v>
      </c>
    </row>
    <row r="671" spans="1:32" ht="15">
      <c r="A671" s="66" t="s">
        <v>811</v>
      </c>
      <c r="B671" s="66" t="s">
        <v>907</v>
      </c>
      <c r="C671" s="67"/>
      <c r="D671" s="68"/>
      <c r="E671" s="69"/>
      <c r="F671" s="70"/>
      <c r="G671" s="67"/>
      <c r="H671" s="71"/>
      <c r="I671" s="72"/>
      <c r="J671" s="72"/>
      <c r="K671" s="35"/>
      <c r="L671" s="80">
        <v>671</v>
      </c>
      <c r="M671" s="80"/>
      <c r="N671" s="74"/>
      <c r="O671" s="82" t="s">
        <v>909</v>
      </c>
      <c r="P671" s="82" t="s">
        <v>197</v>
      </c>
      <c r="Q671" s="85" t="s">
        <v>1575</v>
      </c>
      <c r="R671" s="82" t="s">
        <v>811</v>
      </c>
      <c r="S671" s="82" t="s">
        <v>2277</v>
      </c>
      <c r="T671" s="87" t="str">
        <f>HYPERLINK("http://www.youtube.com/channel/UCFwMyEq4xIE3NWGitBgRbew")</f>
        <v>http://www.youtube.com/channel/UCFwMyEq4xIE3NWGitBgRbew</v>
      </c>
      <c r="U671" s="82"/>
      <c r="V671" s="82" t="s">
        <v>2375</v>
      </c>
      <c r="W671" s="87" t="str">
        <f t="shared" si="30"/>
        <v>https://www.youtube.com/watch?v=75c-kHKv0O4</v>
      </c>
      <c r="X671" s="82" t="s">
        <v>2384</v>
      </c>
      <c r="Y671" s="82">
        <v>0</v>
      </c>
      <c r="Z671" s="89">
        <v>45195.155648148146</v>
      </c>
      <c r="AA671" s="89">
        <v>45195.155648148146</v>
      </c>
      <c r="AB671" s="82"/>
      <c r="AC671" s="82"/>
      <c r="AD671" s="85" t="s">
        <v>2423</v>
      </c>
      <c r="AE671" s="84" t="str">
        <f>REPLACE(INDEX(GroupVertices[Group],MATCH("~"&amp;Edges[[#This Row],[Vertex 1]],GroupVertices[Vertex],0)),1,1,"")</f>
        <v>1</v>
      </c>
      <c r="AF671" s="84" t="str">
        <f>REPLACE(INDEX(GroupVertices[Group],MATCH("~"&amp;Edges[[#This Row],[Vertex 2]],GroupVertices[Vertex],0)),1,1,"")</f>
        <v>1</v>
      </c>
    </row>
    <row r="672" spans="1:32" ht="15">
      <c r="A672" s="66" t="s">
        <v>812</v>
      </c>
      <c r="B672" s="66" t="s">
        <v>907</v>
      </c>
      <c r="C672" s="67"/>
      <c r="D672" s="68"/>
      <c r="E672" s="69"/>
      <c r="F672" s="70"/>
      <c r="G672" s="67"/>
      <c r="H672" s="71"/>
      <c r="I672" s="72"/>
      <c r="J672" s="72"/>
      <c r="K672" s="35"/>
      <c r="L672" s="80">
        <v>672</v>
      </c>
      <c r="M672" s="80"/>
      <c r="N672" s="74"/>
      <c r="O672" s="82" t="s">
        <v>909</v>
      </c>
      <c r="P672" s="82" t="s">
        <v>197</v>
      </c>
      <c r="Q672" s="85" t="s">
        <v>1576</v>
      </c>
      <c r="R672" s="82" t="s">
        <v>812</v>
      </c>
      <c r="S672" s="82" t="s">
        <v>2278</v>
      </c>
      <c r="T672" s="87" t="str">
        <f>HYPERLINK("http://www.youtube.com/channel/UCqSZUxNt7NbcBq1STKKxL6g")</f>
        <v>http://www.youtube.com/channel/UCqSZUxNt7NbcBq1STKKxL6g</v>
      </c>
      <c r="U672" s="82"/>
      <c r="V672" s="82" t="s">
        <v>2375</v>
      </c>
      <c r="W672" s="87" t="str">
        <f t="shared" si="30"/>
        <v>https://www.youtube.com/watch?v=75c-kHKv0O4</v>
      </c>
      <c r="X672" s="82" t="s">
        <v>2384</v>
      </c>
      <c r="Y672" s="82">
        <v>0</v>
      </c>
      <c r="Z672" s="89">
        <v>45195.17329861111</v>
      </c>
      <c r="AA672" s="89">
        <v>45195.17329861111</v>
      </c>
      <c r="AB672" s="82"/>
      <c r="AC672" s="82"/>
      <c r="AD672" s="85" t="s">
        <v>2423</v>
      </c>
      <c r="AE672" s="84" t="str">
        <f>REPLACE(INDEX(GroupVertices[Group],MATCH("~"&amp;Edges[[#This Row],[Vertex 1]],GroupVertices[Vertex],0)),1,1,"")</f>
        <v>1</v>
      </c>
      <c r="AF672" s="84" t="str">
        <f>REPLACE(INDEX(GroupVertices[Group],MATCH("~"&amp;Edges[[#This Row],[Vertex 2]],GroupVertices[Vertex],0)),1,1,"")</f>
        <v>1</v>
      </c>
    </row>
    <row r="673" spans="1:32" ht="15">
      <c r="A673" s="66" t="s">
        <v>813</v>
      </c>
      <c r="B673" s="66" t="s">
        <v>907</v>
      </c>
      <c r="C673" s="67"/>
      <c r="D673" s="68"/>
      <c r="E673" s="69"/>
      <c r="F673" s="70"/>
      <c r="G673" s="67"/>
      <c r="H673" s="71"/>
      <c r="I673" s="72"/>
      <c r="J673" s="72"/>
      <c r="K673" s="35"/>
      <c r="L673" s="80">
        <v>673</v>
      </c>
      <c r="M673" s="80"/>
      <c r="N673" s="74"/>
      <c r="O673" s="82" t="s">
        <v>909</v>
      </c>
      <c r="P673" s="82" t="s">
        <v>197</v>
      </c>
      <c r="Q673" s="85" t="s">
        <v>1577</v>
      </c>
      <c r="R673" s="82" t="s">
        <v>813</v>
      </c>
      <c r="S673" s="82" t="s">
        <v>2279</v>
      </c>
      <c r="T673" s="87" t="str">
        <f>HYPERLINK("http://www.youtube.com/channel/UCTXr-K3WYUGHDZCC78s8EmA")</f>
        <v>http://www.youtube.com/channel/UCTXr-K3WYUGHDZCC78s8EmA</v>
      </c>
      <c r="U673" s="82"/>
      <c r="V673" s="82" t="s">
        <v>2375</v>
      </c>
      <c r="W673" s="87" t="str">
        <f t="shared" si="30"/>
        <v>https://www.youtube.com/watch?v=75c-kHKv0O4</v>
      </c>
      <c r="X673" s="82" t="s">
        <v>2384</v>
      </c>
      <c r="Y673" s="82">
        <v>0</v>
      </c>
      <c r="Z673" s="89">
        <v>45195.338472222225</v>
      </c>
      <c r="AA673" s="89">
        <v>45195.338472222225</v>
      </c>
      <c r="AB673" s="82"/>
      <c r="AC673" s="82"/>
      <c r="AD673" s="85" t="s">
        <v>2423</v>
      </c>
      <c r="AE673" s="84" t="str">
        <f>REPLACE(INDEX(GroupVertices[Group],MATCH("~"&amp;Edges[[#This Row],[Vertex 1]],GroupVertices[Vertex],0)),1,1,"")</f>
        <v>1</v>
      </c>
      <c r="AF673" s="84" t="str">
        <f>REPLACE(INDEX(GroupVertices[Group],MATCH("~"&amp;Edges[[#This Row],[Vertex 2]],GroupVertices[Vertex],0)),1,1,"")</f>
        <v>1</v>
      </c>
    </row>
    <row r="674" spans="1:32" ht="15">
      <c r="A674" s="66" t="s">
        <v>814</v>
      </c>
      <c r="B674" s="66" t="s">
        <v>907</v>
      </c>
      <c r="C674" s="67"/>
      <c r="D674" s="68"/>
      <c r="E674" s="69"/>
      <c r="F674" s="70"/>
      <c r="G674" s="67"/>
      <c r="H674" s="71"/>
      <c r="I674" s="72"/>
      <c r="J674" s="72"/>
      <c r="K674" s="35"/>
      <c r="L674" s="80">
        <v>674</v>
      </c>
      <c r="M674" s="80"/>
      <c r="N674" s="74"/>
      <c r="O674" s="82" t="s">
        <v>909</v>
      </c>
      <c r="P674" s="82" t="s">
        <v>197</v>
      </c>
      <c r="Q674" s="85" t="s">
        <v>1578</v>
      </c>
      <c r="R674" s="82" t="s">
        <v>814</v>
      </c>
      <c r="S674" s="82" t="s">
        <v>2280</v>
      </c>
      <c r="T674" s="87" t="str">
        <f>HYPERLINK("http://www.youtube.com/channel/UCeFU7G4NPnykJY4uI1C9DyA")</f>
        <v>http://www.youtube.com/channel/UCeFU7G4NPnykJY4uI1C9DyA</v>
      </c>
      <c r="U674" s="82"/>
      <c r="V674" s="82" t="s">
        <v>2375</v>
      </c>
      <c r="W674" s="87" t="str">
        <f t="shared" si="30"/>
        <v>https://www.youtube.com/watch?v=75c-kHKv0O4</v>
      </c>
      <c r="X674" s="82" t="s">
        <v>2384</v>
      </c>
      <c r="Y674" s="82">
        <v>0</v>
      </c>
      <c r="Z674" s="89">
        <v>45195.56434027778</v>
      </c>
      <c r="AA674" s="89">
        <v>45195.56434027778</v>
      </c>
      <c r="AB674" s="82"/>
      <c r="AC674" s="82"/>
      <c r="AD674" s="85" t="s">
        <v>2423</v>
      </c>
      <c r="AE674" s="84" t="str">
        <f>REPLACE(INDEX(GroupVertices[Group],MATCH("~"&amp;Edges[[#This Row],[Vertex 1]],GroupVertices[Vertex],0)),1,1,"")</f>
        <v>1</v>
      </c>
      <c r="AF674" s="84" t="str">
        <f>REPLACE(INDEX(GroupVertices[Group],MATCH("~"&amp;Edges[[#This Row],[Vertex 2]],GroupVertices[Vertex],0)),1,1,"")</f>
        <v>1</v>
      </c>
    </row>
    <row r="675" spans="1:32" ht="15">
      <c r="A675" s="66" t="s">
        <v>815</v>
      </c>
      <c r="B675" s="66" t="s">
        <v>907</v>
      </c>
      <c r="C675" s="67"/>
      <c r="D675" s="68"/>
      <c r="E675" s="69"/>
      <c r="F675" s="70"/>
      <c r="G675" s="67"/>
      <c r="H675" s="71"/>
      <c r="I675" s="72"/>
      <c r="J675" s="72"/>
      <c r="K675" s="35"/>
      <c r="L675" s="80">
        <v>675</v>
      </c>
      <c r="M675" s="80"/>
      <c r="N675" s="74"/>
      <c r="O675" s="82" t="s">
        <v>909</v>
      </c>
      <c r="P675" s="82" t="s">
        <v>197</v>
      </c>
      <c r="Q675" s="85" t="s">
        <v>1579</v>
      </c>
      <c r="R675" s="82" t="s">
        <v>815</v>
      </c>
      <c r="S675" s="82" t="s">
        <v>2281</v>
      </c>
      <c r="T675" s="87" t="str">
        <f>HYPERLINK("http://www.youtube.com/channel/UC4nWY5UZuN78231l5-_KW6g")</f>
        <v>http://www.youtube.com/channel/UC4nWY5UZuN78231l5-_KW6g</v>
      </c>
      <c r="U675" s="82"/>
      <c r="V675" s="82" t="s">
        <v>2375</v>
      </c>
      <c r="W675" s="87" t="str">
        <f t="shared" si="30"/>
        <v>https://www.youtube.com/watch?v=75c-kHKv0O4</v>
      </c>
      <c r="X675" s="82" t="s">
        <v>2384</v>
      </c>
      <c r="Y675" s="82">
        <v>0</v>
      </c>
      <c r="Z675" s="89">
        <v>45195.87436342592</v>
      </c>
      <c r="AA675" s="89">
        <v>45195.87472222222</v>
      </c>
      <c r="AB675" s="82"/>
      <c r="AC675" s="82"/>
      <c r="AD675" s="85" t="s">
        <v>2423</v>
      </c>
      <c r="AE675" s="84" t="str">
        <f>REPLACE(INDEX(GroupVertices[Group],MATCH("~"&amp;Edges[[#This Row],[Vertex 1]],GroupVertices[Vertex],0)),1,1,"")</f>
        <v>1</v>
      </c>
      <c r="AF675" s="84" t="str">
        <f>REPLACE(INDEX(GroupVertices[Group],MATCH("~"&amp;Edges[[#This Row],[Vertex 2]],GroupVertices[Vertex],0)),1,1,"")</f>
        <v>1</v>
      </c>
    </row>
    <row r="676" spans="1:32" ht="15">
      <c r="A676" s="66" t="s">
        <v>816</v>
      </c>
      <c r="B676" s="66" t="s">
        <v>907</v>
      </c>
      <c r="C676" s="67"/>
      <c r="D676" s="68"/>
      <c r="E676" s="69"/>
      <c r="F676" s="70"/>
      <c r="G676" s="67"/>
      <c r="H676" s="71"/>
      <c r="I676" s="72"/>
      <c r="J676" s="72"/>
      <c r="K676" s="35"/>
      <c r="L676" s="80">
        <v>676</v>
      </c>
      <c r="M676" s="80"/>
      <c r="N676" s="74"/>
      <c r="O676" s="82" t="s">
        <v>909</v>
      </c>
      <c r="P676" s="82" t="s">
        <v>197</v>
      </c>
      <c r="Q676" s="85" t="s">
        <v>1580</v>
      </c>
      <c r="R676" s="82" t="s">
        <v>816</v>
      </c>
      <c r="S676" s="82" t="s">
        <v>2282</v>
      </c>
      <c r="T676" s="87" t="str">
        <f>HYPERLINK("http://www.youtube.com/channel/UCTy-JYRRcMnRiqx1_ngPU3Q")</f>
        <v>http://www.youtube.com/channel/UCTy-JYRRcMnRiqx1_ngPU3Q</v>
      </c>
      <c r="U676" s="82"/>
      <c r="V676" s="82" t="s">
        <v>2375</v>
      </c>
      <c r="W676" s="87" t="str">
        <f t="shared" si="30"/>
        <v>https://www.youtube.com/watch?v=75c-kHKv0O4</v>
      </c>
      <c r="X676" s="82" t="s">
        <v>2384</v>
      </c>
      <c r="Y676" s="82">
        <v>0</v>
      </c>
      <c r="Z676" s="89">
        <v>45196.55259259259</v>
      </c>
      <c r="AA676" s="89">
        <v>45196.55259259259</v>
      </c>
      <c r="AB676" s="82"/>
      <c r="AC676" s="82"/>
      <c r="AD676" s="85" t="s">
        <v>2423</v>
      </c>
      <c r="AE676" s="84" t="str">
        <f>REPLACE(INDEX(GroupVertices[Group],MATCH("~"&amp;Edges[[#This Row],[Vertex 1]],GroupVertices[Vertex],0)),1,1,"")</f>
        <v>1</v>
      </c>
      <c r="AF676" s="84" t="str">
        <f>REPLACE(INDEX(GroupVertices[Group],MATCH("~"&amp;Edges[[#This Row],[Vertex 2]],GroupVertices[Vertex],0)),1,1,"")</f>
        <v>1</v>
      </c>
    </row>
    <row r="677" spans="1:32" ht="15">
      <c r="A677" s="66" t="s">
        <v>816</v>
      </c>
      <c r="B677" s="66" t="s">
        <v>907</v>
      </c>
      <c r="C677" s="67"/>
      <c r="D677" s="68"/>
      <c r="E677" s="69"/>
      <c r="F677" s="70"/>
      <c r="G677" s="67"/>
      <c r="H677" s="71"/>
      <c r="I677" s="72"/>
      <c r="J677" s="72"/>
      <c r="K677" s="35"/>
      <c r="L677" s="80">
        <v>677</v>
      </c>
      <c r="M677" s="80"/>
      <c r="N677" s="74"/>
      <c r="O677" s="82" t="s">
        <v>909</v>
      </c>
      <c r="P677" s="82" t="s">
        <v>197</v>
      </c>
      <c r="Q677" s="85" t="s">
        <v>1581</v>
      </c>
      <c r="R677" s="82" t="s">
        <v>816</v>
      </c>
      <c r="S677" s="82" t="s">
        <v>2282</v>
      </c>
      <c r="T677" s="87" t="str">
        <f>HYPERLINK("http://www.youtube.com/channel/UCTy-JYRRcMnRiqx1_ngPU3Q")</f>
        <v>http://www.youtube.com/channel/UCTy-JYRRcMnRiqx1_ngPU3Q</v>
      </c>
      <c r="U677" s="82"/>
      <c r="V677" s="82" t="s">
        <v>2375</v>
      </c>
      <c r="W677" s="87" t="str">
        <f t="shared" si="30"/>
        <v>https://www.youtube.com/watch?v=75c-kHKv0O4</v>
      </c>
      <c r="X677" s="82" t="s">
        <v>2384</v>
      </c>
      <c r="Y677" s="82">
        <v>0</v>
      </c>
      <c r="Z677" s="89">
        <v>45196.55385416667</v>
      </c>
      <c r="AA677" s="89">
        <v>45196.55385416667</v>
      </c>
      <c r="AB677" s="82"/>
      <c r="AC677" s="82"/>
      <c r="AD677" s="85" t="s">
        <v>2423</v>
      </c>
      <c r="AE677" s="84" t="str">
        <f>REPLACE(INDEX(GroupVertices[Group],MATCH("~"&amp;Edges[[#This Row],[Vertex 1]],GroupVertices[Vertex],0)),1,1,"")</f>
        <v>1</v>
      </c>
      <c r="AF677" s="84" t="str">
        <f>REPLACE(INDEX(GroupVertices[Group],MATCH("~"&amp;Edges[[#This Row],[Vertex 2]],GroupVertices[Vertex],0)),1,1,"")</f>
        <v>1</v>
      </c>
    </row>
    <row r="678" spans="1:32" ht="15">
      <c r="A678" s="66" t="s">
        <v>817</v>
      </c>
      <c r="B678" s="66" t="s">
        <v>907</v>
      </c>
      <c r="C678" s="67"/>
      <c r="D678" s="68"/>
      <c r="E678" s="69"/>
      <c r="F678" s="70"/>
      <c r="G678" s="67"/>
      <c r="H678" s="71"/>
      <c r="I678" s="72"/>
      <c r="J678" s="72"/>
      <c r="K678" s="35"/>
      <c r="L678" s="80">
        <v>678</v>
      </c>
      <c r="M678" s="80"/>
      <c r="N678" s="74"/>
      <c r="O678" s="82" t="s">
        <v>909</v>
      </c>
      <c r="P678" s="82" t="s">
        <v>197</v>
      </c>
      <c r="Q678" s="85" t="s">
        <v>1582</v>
      </c>
      <c r="R678" s="82" t="s">
        <v>817</v>
      </c>
      <c r="S678" s="82" t="s">
        <v>2283</v>
      </c>
      <c r="T678" s="87" t="str">
        <f>HYPERLINK("http://www.youtube.com/channel/UCIArBoejFG8orctlw8-SJiQ")</f>
        <v>http://www.youtube.com/channel/UCIArBoejFG8orctlw8-SJiQ</v>
      </c>
      <c r="U678" s="82"/>
      <c r="V678" s="82" t="s">
        <v>2375</v>
      </c>
      <c r="W678" s="87" t="str">
        <f t="shared" si="30"/>
        <v>https://www.youtube.com/watch?v=75c-kHKv0O4</v>
      </c>
      <c r="X678" s="82" t="s">
        <v>2384</v>
      </c>
      <c r="Y678" s="82">
        <v>0</v>
      </c>
      <c r="Z678" s="89">
        <v>45196.75355324074</v>
      </c>
      <c r="AA678" s="89">
        <v>45196.75355324074</v>
      </c>
      <c r="AB678" s="82"/>
      <c r="AC678" s="82"/>
      <c r="AD678" s="85" t="s">
        <v>2423</v>
      </c>
      <c r="AE678" s="84" t="str">
        <f>REPLACE(INDEX(GroupVertices[Group],MATCH("~"&amp;Edges[[#This Row],[Vertex 1]],GroupVertices[Vertex],0)),1,1,"")</f>
        <v>1</v>
      </c>
      <c r="AF678" s="84" t="str">
        <f>REPLACE(INDEX(GroupVertices[Group],MATCH("~"&amp;Edges[[#This Row],[Vertex 2]],GroupVertices[Vertex],0)),1,1,"")</f>
        <v>1</v>
      </c>
    </row>
    <row r="679" spans="1:32" ht="15">
      <c r="A679" s="66" t="s">
        <v>818</v>
      </c>
      <c r="B679" s="66" t="s">
        <v>907</v>
      </c>
      <c r="C679" s="67"/>
      <c r="D679" s="68"/>
      <c r="E679" s="69"/>
      <c r="F679" s="70"/>
      <c r="G679" s="67"/>
      <c r="H679" s="71"/>
      <c r="I679" s="72"/>
      <c r="J679" s="72"/>
      <c r="K679" s="35"/>
      <c r="L679" s="80">
        <v>679</v>
      </c>
      <c r="M679" s="80"/>
      <c r="N679" s="74"/>
      <c r="O679" s="82" t="s">
        <v>909</v>
      </c>
      <c r="P679" s="82" t="s">
        <v>197</v>
      </c>
      <c r="Q679" s="85" t="s">
        <v>1583</v>
      </c>
      <c r="R679" s="82" t="s">
        <v>818</v>
      </c>
      <c r="S679" s="82" t="s">
        <v>2284</v>
      </c>
      <c r="T679" s="87" t="str">
        <f>HYPERLINK("http://www.youtube.com/channel/UCYSZu-_m59Sump2qPo30Utg")</f>
        <v>http://www.youtube.com/channel/UCYSZu-_m59Sump2qPo30Utg</v>
      </c>
      <c r="U679" s="82"/>
      <c r="V679" s="82" t="s">
        <v>2375</v>
      </c>
      <c r="W679" s="87" t="str">
        <f t="shared" si="30"/>
        <v>https://www.youtube.com/watch?v=75c-kHKv0O4</v>
      </c>
      <c r="X679" s="82" t="s">
        <v>2384</v>
      </c>
      <c r="Y679" s="82">
        <v>1</v>
      </c>
      <c r="Z679" s="89">
        <v>45196.81994212963</v>
      </c>
      <c r="AA679" s="89">
        <v>45196.82032407408</v>
      </c>
      <c r="AB679" s="82"/>
      <c r="AC679" s="82"/>
      <c r="AD679" s="85" t="s">
        <v>2423</v>
      </c>
      <c r="AE679" s="84" t="str">
        <f>REPLACE(INDEX(GroupVertices[Group],MATCH("~"&amp;Edges[[#This Row],[Vertex 1]],GroupVertices[Vertex],0)),1,1,"")</f>
        <v>1</v>
      </c>
      <c r="AF679" s="84" t="str">
        <f>REPLACE(INDEX(GroupVertices[Group],MATCH("~"&amp;Edges[[#This Row],[Vertex 2]],GroupVertices[Vertex],0)),1,1,"")</f>
        <v>1</v>
      </c>
    </row>
    <row r="680" spans="1:32" ht="15">
      <c r="A680" s="66" t="s">
        <v>819</v>
      </c>
      <c r="B680" s="66" t="s">
        <v>907</v>
      </c>
      <c r="C680" s="67"/>
      <c r="D680" s="68"/>
      <c r="E680" s="69"/>
      <c r="F680" s="70"/>
      <c r="G680" s="67"/>
      <c r="H680" s="71"/>
      <c r="I680" s="72"/>
      <c r="J680" s="72"/>
      <c r="K680" s="35"/>
      <c r="L680" s="80">
        <v>680</v>
      </c>
      <c r="M680" s="80"/>
      <c r="N680" s="74"/>
      <c r="O680" s="82" t="s">
        <v>909</v>
      </c>
      <c r="P680" s="82" t="s">
        <v>197</v>
      </c>
      <c r="Q680" s="85" t="s">
        <v>1304</v>
      </c>
      <c r="R680" s="82" t="s">
        <v>819</v>
      </c>
      <c r="S680" s="82" t="s">
        <v>2285</v>
      </c>
      <c r="T680" s="87" t="str">
        <f>HYPERLINK("http://www.youtube.com/channel/UCUNZ28Ydsumo0P8FZ9OtquA")</f>
        <v>http://www.youtube.com/channel/UCUNZ28Ydsumo0P8FZ9OtquA</v>
      </c>
      <c r="U680" s="82"/>
      <c r="V680" s="82" t="s">
        <v>2375</v>
      </c>
      <c r="W680" s="87" t="str">
        <f t="shared" si="30"/>
        <v>https://www.youtube.com/watch?v=75c-kHKv0O4</v>
      </c>
      <c r="X680" s="82" t="s">
        <v>2384</v>
      </c>
      <c r="Y680" s="82">
        <v>0</v>
      </c>
      <c r="Z680" s="89">
        <v>45196.94645833333</v>
      </c>
      <c r="AA680" s="89">
        <v>45196.94645833333</v>
      </c>
      <c r="AB680" s="82"/>
      <c r="AC680" s="82"/>
      <c r="AD680" s="85" t="s">
        <v>2423</v>
      </c>
      <c r="AE680" s="84" t="str">
        <f>REPLACE(INDEX(GroupVertices[Group],MATCH("~"&amp;Edges[[#This Row],[Vertex 1]],GroupVertices[Vertex],0)),1,1,"")</f>
        <v>1</v>
      </c>
      <c r="AF680" s="84" t="str">
        <f>REPLACE(INDEX(GroupVertices[Group],MATCH("~"&amp;Edges[[#This Row],[Vertex 2]],GroupVertices[Vertex],0)),1,1,"")</f>
        <v>1</v>
      </c>
    </row>
    <row r="681" spans="1:32" ht="15">
      <c r="A681" s="66" t="s">
        <v>820</v>
      </c>
      <c r="B681" s="66" t="s">
        <v>907</v>
      </c>
      <c r="C681" s="67"/>
      <c r="D681" s="68"/>
      <c r="E681" s="69"/>
      <c r="F681" s="70"/>
      <c r="G681" s="67"/>
      <c r="H681" s="71"/>
      <c r="I681" s="72"/>
      <c r="J681" s="72"/>
      <c r="K681" s="35"/>
      <c r="L681" s="80">
        <v>681</v>
      </c>
      <c r="M681" s="80"/>
      <c r="N681" s="74"/>
      <c r="O681" s="82" t="s">
        <v>909</v>
      </c>
      <c r="P681" s="82" t="s">
        <v>197</v>
      </c>
      <c r="Q681" s="85" t="s">
        <v>1584</v>
      </c>
      <c r="R681" s="82" t="s">
        <v>820</v>
      </c>
      <c r="S681" s="82" t="s">
        <v>2286</v>
      </c>
      <c r="T681" s="87" t="str">
        <f>HYPERLINK("http://www.youtube.com/channel/UCGpTuGCmesmi43FszTV4R_g")</f>
        <v>http://www.youtube.com/channel/UCGpTuGCmesmi43FszTV4R_g</v>
      </c>
      <c r="U681" s="82"/>
      <c r="V681" s="82" t="s">
        <v>2375</v>
      </c>
      <c r="W681" s="87" t="str">
        <f t="shared" si="30"/>
        <v>https://www.youtube.com/watch?v=75c-kHKv0O4</v>
      </c>
      <c r="X681" s="82" t="s">
        <v>2384</v>
      </c>
      <c r="Y681" s="82">
        <v>0</v>
      </c>
      <c r="Z681" s="89">
        <v>45196.96082175926</v>
      </c>
      <c r="AA681" s="89">
        <v>45196.96082175926</v>
      </c>
      <c r="AB681" s="82"/>
      <c r="AC681" s="82"/>
      <c r="AD681" s="85" t="s">
        <v>2423</v>
      </c>
      <c r="AE681" s="84" t="str">
        <f>REPLACE(INDEX(GroupVertices[Group],MATCH("~"&amp;Edges[[#This Row],[Vertex 1]],GroupVertices[Vertex],0)),1,1,"")</f>
        <v>1</v>
      </c>
      <c r="AF681" s="84" t="str">
        <f>REPLACE(INDEX(GroupVertices[Group],MATCH("~"&amp;Edges[[#This Row],[Vertex 2]],GroupVertices[Vertex],0)),1,1,"")</f>
        <v>1</v>
      </c>
    </row>
    <row r="682" spans="1:32" ht="15">
      <c r="A682" s="66" t="s">
        <v>821</v>
      </c>
      <c r="B682" s="66" t="s">
        <v>907</v>
      </c>
      <c r="C682" s="67"/>
      <c r="D682" s="68"/>
      <c r="E682" s="69"/>
      <c r="F682" s="70"/>
      <c r="G682" s="67"/>
      <c r="H682" s="71"/>
      <c r="I682" s="72"/>
      <c r="J682" s="72"/>
      <c r="K682" s="35"/>
      <c r="L682" s="80">
        <v>682</v>
      </c>
      <c r="M682" s="80"/>
      <c r="N682" s="74"/>
      <c r="O682" s="82" t="s">
        <v>909</v>
      </c>
      <c r="P682" s="82" t="s">
        <v>197</v>
      </c>
      <c r="Q682" s="85" t="s">
        <v>1585</v>
      </c>
      <c r="R682" s="82" t="s">
        <v>821</v>
      </c>
      <c r="S682" s="82" t="s">
        <v>2287</v>
      </c>
      <c r="T682" s="87" t="str">
        <f>HYPERLINK("http://www.youtube.com/channel/UC8_MqNMB8IcDBWPxbA-E02g")</f>
        <v>http://www.youtube.com/channel/UC8_MqNMB8IcDBWPxbA-E02g</v>
      </c>
      <c r="U682" s="82"/>
      <c r="V682" s="82" t="s">
        <v>2375</v>
      </c>
      <c r="W682" s="87" t="str">
        <f t="shared" si="30"/>
        <v>https://www.youtube.com/watch?v=75c-kHKv0O4</v>
      </c>
      <c r="X682" s="82" t="s">
        <v>2384</v>
      </c>
      <c r="Y682" s="82">
        <v>0</v>
      </c>
      <c r="Z682" s="89">
        <v>45197.03826388889</v>
      </c>
      <c r="AA682" s="89">
        <v>45197.03826388889</v>
      </c>
      <c r="AB682" s="82"/>
      <c r="AC682" s="82"/>
      <c r="AD682" s="85" t="s">
        <v>2423</v>
      </c>
      <c r="AE682" s="84" t="str">
        <f>REPLACE(INDEX(GroupVertices[Group],MATCH("~"&amp;Edges[[#This Row],[Vertex 1]],GroupVertices[Vertex],0)),1,1,"")</f>
        <v>1</v>
      </c>
      <c r="AF682" s="84" t="str">
        <f>REPLACE(INDEX(GroupVertices[Group],MATCH("~"&amp;Edges[[#This Row],[Vertex 2]],GroupVertices[Vertex],0)),1,1,"")</f>
        <v>1</v>
      </c>
    </row>
    <row r="683" spans="1:32" ht="15">
      <c r="A683" s="66" t="s">
        <v>822</v>
      </c>
      <c r="B683" s="66" t="s">
        <v>907</v>
      </c>
      <c r="C683" s="67"/>
      <c r="D683" s="68"/>
      <c r="E683" s="69"/>
      <c r="F683" s="70"/>
      <c r="G683" s="67"/>
      <c r="H683" s="71"/>
      <c r="I683" s="72"/>
      <c r="J683" s="72"/>
      <c r="K683" s="35"/>
      <c r="L683" s="80">
        <v>683</v>
      </c>
      <c r="M683" s="80"/>
      <c r="N683" s="74"/>
      <c r="O683" s="82" t="s">
        <v>909</v>
      </c>
      <c r="P683" s="82" t="s">
        <v>197</v>
      </c>
      <c r="Q683" s="85" t="s">
        <v>1586</v>
      </c>
      <c r="R683" s="82" t="s">
        <v>822</v>
      </c>
      <c r="S683" s="82" t="s">
        <v>2288</v>
      </c>
      <c r="T683" s="87" t="str">
        <f>HYPERLINK("http://www.youtube.com/channel/UC-XhcdTroF1MMz2GkGu73Iw")</f>
        <v>http://www.youtube.com/channel/UC-XhcdTroF1MMz2GkGu73Iw</v>
      </c>
      <c r="U683" s="82"/>
      <c r="V683" s="82" t="s">
        <v>2375</v>
      </c>
      <c r="W683" s="87" t="str">
        <f t="shared" si="30"/>
        <v>https://www.youtube.com/watch?v=75c-kHKv0O4</v>
      </c>
      <c r="X683" s="82" t="s">
        <v>2384</v>
      </c>
      <c r="Y683" s="82">
        <v>0</v>
      </c>
      <c r="Z683" s="89">
        <v>45197.69204861111</v>
      </c>
      <c r="AA683" s="89">
        <v>45197.69204861111</v>
      </c>
      <c r="AB683" s="82"/>
      <c r="AC683" s="82"/>
      <c r="AD683" s="85" t="s">
        <v>2423</v>
      </c>
      <c r="AE683" s="84" t="str">
        <f>REPLACE(INDEX(GroupVertices[Group],MATCH("~"&amp;Edges[[#This Row],[Vertex 1]],GroupVertices[Vertex],0)),1,1,"")</f>
        <v>1</v>
      </c>
      <c r="AF683" s="84" t="str">
        <f>REPLACE(INDEX(GroupVertices[Group],MATCH("~"&amp;Edges[[#This Row],[Vertex 2]],GroupVertices[Vertex],0)),1,1,"")</f>
        <v>1</v>
      </c>
    </row>
    <row r="684" spans="1:32" ht="15">
      <c r="A684" s="66" t="s">
        <v>823</v>
      </c>
      <c r="B684" s="66" t="s">
        <v>907</v>
      </c>
      <c r="C684" s="67"/>
      <c r="D684" s="68"/>
      <c r="E684" s="69"/>
      <c r="F684" s="70"/>
      <c r="G684" s="67"/>
      <c r="H684" s="71"/>
      <c r="I684" s="72"/>
      <c r="J684" s="72"/>
      <c r="K684" s="35"/>
      <c r="L684" s="80">
        <v>684</v>
      </c>
      <c r="M684" s="80"/>
      <c r="N684" s="74"/>
      <c r="O684" s="82" t="s">
        <v>909</v>
      </c>
      <c r="P684" s="82" t="s">
        <v>197</v>
      </c>
      <c r="Q684" s="85" t="s">
        <v>1587</v>
      </c>
      <c r="R684" s="82" t="s">
        <v>823</v>
      </c>
      <c r="S684" s="82" t="s">
        <v>2289</v>
      </c>
      <c r="T684" s="87" t="str">
        <f>HYPERLINK("http://www.youtube.com/channel/UCPEVP-uzmM0V16IqY046Cug")</f>
        <v>http://www.youtube.com/channel/UCPEVP-uzmM0V16IqY046Cug</v>
      </c>
      <c r="U684" s="82"/>
      <c r="V684" s="82" t="s">
        <v>2375</v>
      </c>
      <c r="W684" s="87" t="str">
        <f t="shared" si="30"/>
        <v>https://www.youtube.com/watch?v=75c-kHKv0O4</v>
      </c>
      <c r="X684" s="82" t="s">
        <v>2384</v>
      </c>
      <c r="Y684" s="82">
        <v>0</v>
      </c>
      <c r="Z684" s="89">
        <v>45198.058483796296</v>
      </c>
      <c r="AA684" s="89">
        <v>45198.058483796296</v>
      </c>
      <c r="AB684" s="82"/>
      <c r="AC684" s="82"/>
      <c r="AD684" s="85" t="s">
        <v>2423</v>
      </c>
      <c r="AE684" s="84" t="str">
        <f>REPLACE(INDEX(GroupVertices[Group],MATCH("~"&amp;Edges[[#This Row],[Vertex 1]],GroupVertices[Vertex],0)),1,1,"")</f>
        <v>1</v>
      </c>
      <c r="AF684" s="84" t="str">
        <f>REPLACE(INDEX(GroupVertices[Group],MATCH("~"&amp;Edges[[#This Row],[Vertex 2]],GroupVertices[Vertex],0)),1,1,"")</f>
        <v>1</v>
      </c>
    </row>
    <row r="685" spans="1:32" ht="15">
      <c r="A685" s="66" t="s">
        <v>824</v>
      </c>
      <c r="B685" s="66" t="s">
        <v>907</v>
      </c>
      <c r="C685" s="67"/>
      <c r="D685" s="68"/>
      <c r="E685" s="69"/>
      <c r="F685" s="70"/>
      <c r="G685" s="67"/>
      <c r="H685" s="71"/>
      <c r="I685" s="72"/>
      <c r="J685" s="72"/>
      <c r="K685" s="35"/>
      <c r="L685" s="80">
        <v>685</v>
      </c>
      <c r="M685" s="80"/>
      <c r="N685" s="74"/>
      <c r="O685" s="82" t="s">
        <v>909</v>
      </c>
      <c r="P685" s="82" t="s">
        <v>197</v>
      </c>
      <c r="Q685" s="85" t="s">
        <v>1588</v>
      </c>
      <c r="R685" s="82" t="s">
        <v>824</v>
      </c>
      <c r="S685" s="82" t="s">
        <v>2290</v>
      </c>
      <c r="T685" s="87" t="str">
        <f>HYPERLINK("http://www.youtube.com/channel/UCKnmXo8y0tUjLf-X6ye3spQ")</f>
        <v>http://www.youtube.com/channel/UCKnmXo8y0tUjLf-X6ye3spQ</v>
      </c>
      <c r="U685" s="82"/>
      <c r="V685" s="82" t="s">
        <v>2375</v>
      </c>
      <c r="W685" s="87" t="str">
        <f t="shared" si="30"/>
        <v>https://www.youtube.com/watch?v=75c-kHKv0O4</v>
      </c>
      <c r="X685" s="82" t="s">
        <v>2384</v>
      </c>
      <c r="Y685" s="82">
        <v>0</v>
      </c>
      <c r="Z685" s="89">
        <v>45198.07</v>
      </c>
      <c r="AA685" s="89">
        <v>45198.07</v>
      </c>
      <c r="AB685" s="82"/>
      <c r="AC685" s="82"/>
      <c r="AD685" s="85" t="s">
        <v>2423</v>
      </c>
      <c r="AE685" s="84" t="str">
        <f>REPLACE(INDEX(GroupVertices[Group],MATCH("~"&amp;Edges[[#This Row],[Vertex 1]],GroupVertices[Vertex],0)),1,1,"")</f>
        <v>1</v>
      </c>
      <c r="AF685" s="84" t="str">
        <f>REPLACE(INDEX(GroupVertices[Group],MATCH("~"&amp;Edges[[#This Row],[Vertex 2]],GroupVertices[Vertex],0)),1,1,"")</f>
        <v>1</v>
      </c>
    </row>
    <row r="686" spans="1:32" ht="15">
      <c r="A686" s="66" t="s">
        <v>825</v>
      </c>
      <c r="B686" s="66" t="s">
        <v>907</v>
      </c>
      <c r="C686" s="67"/>
      <c r="D686" s="68"/>
      <c r="E686" s="69"/>
      <c r="F686" s="70"/>
      <c r="G686" s="67"/>
      <c r="H686" s="71"/>
      <c r="I686" s="72"/>
      <c r="J686" s="72"/>
      <c r="K686" s="35"/>
      <c r="L686" s="80">
        <v>686</v>
      </c>
      <c r="M686" s="80"/>
      <c r="N686" s="74"/>
      <c r="O686" s="82" t="s">
        <v>909</v>
      </c>
      <c r="P686" s="82" t="s">
        <v>197</v>
      </c>
      <c r="Q686" s="85" t="s">
        <v>1589</v>
      </c>
      <c r="R686" s="82" t="s">
        <v>825</v>
      </c>
      <c r="S686" s="82" t="s">
        <v>2291</v>
      </c>
      <c r="T686" s="87" t="str">
        <f>HYPERLINK("http://www.youtube.com/channel/UCDbHJrZtsHVXVR_84nRe9Pw")</f>
        <v>http://www.youtube.com/channel/UCDbHJrZtsHVXVR_84nRe9Pw</v>
      </c>
      <c r="U686" s="82"/>
      <c r="V686" s="82" t="s">
        <v>2375</v>
      </c>
      <c r="W686" s="87" t="str">
        <f t="shared" si="30"/>
        <v>https://www.youtube.com/watch?v=75c-kHKv0O4</v>
      </c>
      <c r="X686" s="82" t="s">
        <v>2384</v>
      </c>
      <c r="Y686" s="82">
        <v>0</v>
      </c>
      <c r="Z686" s="89">
        <v>45198.15782407407</v>
      </c>
      <c r="AA686" s="89">
        <v>45198.15782407407</v>
      </c>
      <c r="AB686" s="82"/>
      <c r="AC686" s="82"/>
      <c r="AD686" s="85" t="s">
        <v>2423</v>
      </c>
      <c r="AE686" s="84" t="str">
        <f>REPLACE(INDEX(GroupVertices[Group],MATCH("~"&amp;Edges[[#This Row],[Vertex 1]],GroupVertices[Vertex],0)),1,1,"")</f>
        <v>1</v>
      </c>
      <c r="AF686" s="84" t="str">
        <f>REPLACE(INDEX(GroupVertices[Group],MATCH("~"&amp;Edges[[#This Row],[Vertex 2]],GroupVertices[Vertex],0)),1,1,"")</f>
        <v>1</v>
      </c>
    </row>
    <row r="687" spans="1:32" ht="15">
      <c r="A687" s="66" t="s">
        <v>826</v>
      </c>
      <c r="B687" s="66" t="s">
        <v>907</v>
      </c>
      <c r="C687" s="67"/>
      <c r="D687" s="68"/>
      <c r="E687" s="69"/>
      <c r="F687" s="70"/>
      <c r="G687" s="67"/>
      <c r="H687" s="71"/>
      <c r="I687" s="72"/>
      <c r="J687" s="72"/>
      <c r="K687" s="35"/>
      <c r="L687" s="80">
        <v>687</v>
      </c>
      <c r="M687" s="80"/>
      <c r="N687" s="74"/>
      <c r="O687" s="82" t="s">
        <v>909</v>
      </c>
      <c r="P687" s="82" t="s">
        <v>197</v>
      </c>
      <c r="Q687" s="85" t="s">
        <v>1590</v>
      </c>
      <c r="R687" s="82" t="s">
        <v>826</v>
      </c>
      <c r="S687" s="82" t="s">
        <v>2292</v>
      </c>
      <c r="T687" s="87" t="str">
        <f>HYPERLINK("http://www.youtube.com/channel/UC_JQ298-Y2xunW2cRmABNfQ")</f>
        <v>http://www.youtube.com/channel/UC_JQ298-Y2xunW2cRmABNfQ</v>
      </c>
      <c r="U687" s="82"/>
      <c r="V687" s="82" t="s">
        <v>2375</v>
      </c>
      <c r="W687" s="87" t="str">
        <f t="shared" si="30"/>
        <v>https://www.youtube.com/watch?v=75c-kHKv0O4</v>
      </c>
      <c r="X687" s="82" t="s">
        <v>2384</v>
      </c>
      <c r="Y687" s="82">
        <v>0</v>
      </c>
      <c r="Z687" s="89">
        <v>45198.342569444445</v>
      </c>
      <c r="AA687" s="89">
        <v>45198.342569444445</v>
      </c>
      <c r="AB687" s="82"/>
      <c r="AC687" s="82"/>
      <c r="AD687" s="85" t="s">
        <v>2423</v>
      </c>
      <c r="AE687" s="84" t="str">
        <f>REPLACE(INDEX(GroupVertices[Group],MATCH("~"&amp;Edges[[#This Row],[Vertex 1]],GroupVertices[Vertex],0)),1,1,"")</f>
        <v>1</v>
      </c>
      <c r="AF687" s="84" t="str">
        <f>REPLACE(INDEX(GroupVertices[Group],MATCH("~"&amp;Edges[[#This Row],[Vertex 2]],GroupVertices[Vertex],0)),1,1,"")</f>
        <v>1</v>
      </c>
    </row>
    <row r="688" spans="1:32" ht="15">
      <c r="A688" s="66" t="s">
        <v>827</v>
      </c>
      <c r="B688" s="66" t="s">
        <v>907</v>
      </c>
      <c r="C688" s="67"/>
      <c r="D688" s="68"/>
      <c r="E688" s="69"/>
      <c r="F688" s="70"/>
      <c r="G688" s="67"/>
      <c r="H688" s="71"/>
      <c r="I688" s="72"/>
      <c r="J688" s="72"/>
      <c r="K688" s="35"/>
      <c r="L688" s="80">
        <v>688</v>
      </c>
      <c r="M688" s="80"/>
      <c r="N688" s="74"/>
      <c r="O688" s="82" t="s">
        <v>909</v>
      </c>
      <c r="P688" s="82" t="s">
        <v>197</v>
      </c>
      <c r="Q688" s="85" t="s">
        <v>1591</v>
      </c>
      <c r="R688" s="82" t="s">
        <v>827</v>
      </c>
      <c r="S688" s="82" t="s">
        <v>2293</v>
      </c>
      <c r="T688" s="87" t="str">
        <f>HYPERLINK("http://www.youtube.com/channel/UC8AfGlF22Ph5u7R6Q17L7Yg")</f>
        <v>http://www.youtube.com/channel/UC8AfGlF22Ph5u7R6Q17L7Yg</v>
      </c>
      <c r="U688" s="82"/>
      <c r="V688" s="82" t="s">
        <v>2375</v>
      </c>
      <c r="W688" s="87" t="str">
        <f t="shared" si="30"/>
        <v>https://www.youtube.com/watch?v=75c-kHKv0O4</v>
      </c>
      <c r="X688" s="82" t="s">
        <v>2384</v>
      </c>
      <c r="Y688" s="82">
        <v>0</v>
      </c>
      <c r="Z688" s="89">
        <v>45198.66049768519</v>
      </c>
      <c r="AA688" s="89">
        <v>45198.66049768519</v>
      </c>
      <c r="AB688" s="82"/>
      <c r="AC688" s="82"/>
      <c r="AD688" s="85" t="s">
        <v>2423</v>
      </c>
      <c r="AE688" s="84" t="str">
        <f>REPLACE(INDEX(GroupVertices[Group],MATCH("~"&amp;Edges[[#This Row],[Vertex 1]],GroupVertices[Vertex],0)),1,1,"")</f>
        <v>1</v>
      </c>
      <c r="AF688" s="84" t="str">
        <f>REPLACE(INDEX(GroupVertices[Group],MATCH("~"&amp;Edges[[#This Row],[Vertex 2]],GroupVertices[Vertex],0)),1,1,"")</f>
        <v>1</v>
      </c>
    </row>
    <row r="689" spans="1:32" ht="15">
      <c r="A689" s="66" t="s">
        <v>828</v>
      </c>
      <c r="B689" s="66" t="s">
        <v>907</v>
      </c>
      <c r="C689" s="67"/>
      <c r="D689" s="68"/>
      <c r="E689" s="69"/>
      <c r="F689" s="70"/>
      <c r="G689" s="67"/>
      <c r="H689" s="71"/>
      <c r="I689" s="72"/>
      <c r="J689" s="72"/>
      <c r="K689" s="35"/>
      <c r="L689" s="80">
        <v>689</v>
      </c>
      <c r="M689" s="80"/>
      <c r="N689" s="74"/>
      <c r="O689" s="82" t="s">
        <v>909</v>
      </c>
      <c r="P689" s="82" t="s">
        <v>197</v>
      </c>
      <c r="Q689" s="85" t="s">
        <v>1592</v>
      </c>
      <c r="R689" s="82" t="s">
        <v>828</v>
      </c>
      <c r="S689" s="82" t="s">
        <v>2294</v>
      </c>
      <c r="T689" s="87" t="str">
        <f>HYPERLINK("http://www.youtube.com/channel/UCxaLTsG-SgW5PIr35qfimzw")</f>
        <v>http://www.youtube.com/channel/UCxaLTsG-SgW5PIr35qfimzw</v>
      </c>
      <c r="U689" s="82"/>
      <c r="V689" s="82" t="s">
        <v>2375</v>
      </c>
      <c r="W689" s="87" t="str">
        <f t="shared" si="30"/>
        <v>https://www.youtube.com/watch?v=75c-kHKv0O4</v>
      </c>
      <c r="X689" s="82" t="s">
        <v>2384</v>
      </c>
      <c r="Y689" s="82">
        <v>0</v>
      </c>
      <c r="Z689" s="89">
        <v>45199.177928240744</v>
      </c>
      <c r="AA689" s="89">
        <v>45199.177928240744</v>
      </c>
      <c r="AB689" s="82"/>
      <c r="AC689" s="82"/>
      <c r="AD689" s="85" t="s">
        <v>2423</v>
      </c>
      <c r="AE689" s="84" t="str">
        <f>REPLACE(INDEX(GroupVertices[Group],MATCH("~"&amp;Edges[[#This Row],[Vertex 1]],GroupVertices[Vertex],0)),1,1,"")</f>
        <v>1</v>
      </c>
      <c r="AF689" s="84" t="str">
        <f>REPLACE(INDEX(GroupVertices[Group],MATCH("~"&amp;Edges[[#This Row],[Vertex 2]],GroupVertices[Vertex],0)),1,1,"")</f>
        <v>1</v>
      </c>
    </row>
    <row r="690" spans="1:32" ht="15">
      <c r="A690" s="66" t="s">
        <v>829</v>
      </c>
      <c r="B690" s="66" t="s">
        <v>907</v>
      </c>
      <c r="C690" s="67"/>
      <c r="D690" s="68"/>
      <c r="E690" s="69"/>
      <c r="F690" s="70"/>
      <c r="G690" s="67"/>
      <c r="H690" s="71"/>
      <c r="I690" s="72"/>
      <c r="J690" s="72"/>
      <c r="K690" s="35"/>
      <c r="L690" s="80">
        <v>690</v>
      </c>
      <c r="M690" s="80"/>
      <c r="N690" s="74"/>
      <c r="O690" s="82" t="s">
        <v>909</v>
      </c>
      <c r="P690" s="82" t="s">
        <v>197</v>
      </c>
      <c r="Q690" s="85" t="s">
        <v>1593</v>
      </c>
      <c r="R690" s="82" t="s">
        <v>829</v>
      </c>
      <c r="S690" s="82" t="s">
        <v>2295</v>
      </c>
      <c r="T690" s="87" t="str">
        <f>HYPERLINK("http://www.youtube.com/channel/UCydtmTmj5L7ITeG5PPaid3g")</f>
        <v>http://www.youtube.com/channel/UCydtmTmj5L7ITeG5PPaid3g</v>
      </c>
      <c r="U690" s="82"/>
      <c r="V690" s="82" t="s">
        <v>2375</v>
      </c>
      <c r="W690" s="87" t="str">
        <f t="shared" si="30"/>
        <v>https://www.youtube.com/watch?v=75c-kHKv0O4</v>
      </c>
      <c r="X690" s="82" t="s">
        <v>2384</v>
      </c>
      <c r="Y690" s="82">
        <v>0</v>
      </c>
      <c r="Z690" s="89">
        <v>45199.42366898148</v>
      </c>
      <c r="AA690" s="89">
        <v>45199.42366898148</v>
      </c>
      <c r="AB690" s="82"/>
      <c r="AC690" s="82"/>
      <c r="AD690" s="85" t="s">
        <v>2423</v>
      </c>
      <c r="AE690" s="84" t="str">
        <f>REPLACE(INDEX(GroupVertices[Group],MATCH("~"&amp;Edges[[#This Row],[Vertex 1]],GroupVertices[Vertex],0)),1,1,"")</f>
        <v>1</v>
      </c>
      <c r="AF690" s="84" t="str">
        <f>REPLACE(INDEX(GroupVertices[Group],MATCH("~"&amp;Edges[[#This Row],[Vertex 2]],GroupVertices[Vertex],0)),1,1,"")</f>
        <v>1</v>
      </c>
    </row>
    <row r="691" spans="1:32" ht="15">
      <c r="A691" s="66" t="s">
        <v>830</v>
      </c>
      <c r="B691" s="66" t="s">
        <v>907</v>
      </c>
      <c r="C691" s="67"/>
      <c r="D691" s="68"/>
      <c r="E691" s="69"/>
      <c r="F691" s="70"/>
      <c r="G691" s="67"/>
      <c r="H691" s="71"/>
      <c r="I691" s="72"/>
      <c r="J691" s="72"/>
      <c r="K691" s="35"/>
      <c r="L691" s="80">
        <v>691</v>
      </c>
      <c r="M691" s="80"/>
      <c r="N691" s="74"/>
      <c r="O691" s="82" t="s">
        <v>909</v>
      </c>
      <c r="P691" s="82" t="s">
        <v>197</v>
      </c>
      <c r="Q691" s="85" t="s">
        <v>1594</v>
      </c>
      <c r="R691" s="82" t="s">
        <v>830</v>
      </c>
      <c r="S691" s="82" t="s">
        <v>2296</v>
      </c>
      <c r="T691" s="87" t="str">
        <f>HYPERLINK("http://www.youtube.com/channel/UC2dB5XbOTNjjDBG9Ei4clPQ")</f>
        <v>http://www.youtube.com/channel/UC2dB5XbOTNjjDBG9Ei4clPQ</v>
      </c>
      <c r="U691" s="82"/>
      <c r="V691" s="82" t="s">
        <v>2375</v>
      </c>
      <c r="W691" s="87" t="str">
        <f t="shared" si="30"/>
        <v>https://www.youtube.com/watch?v=75c-kHKv0O4</v>
      </c>
      <c r="X691" s="82" t="s">
        <v>2384</v>
      </c>
      <c r="Y691" s="82">
        <v>0</v>
      </c>
      <c r="Z691" s="89">
        <v>45199.4721875</v>
      </c>
      <c r="AA691" s="89">
        <v>45200.156493055554</v>
      </c>
      <c r="AB691" s="82"/>
      <c r="AC691" s="82"/>
      <c r="AD691" s="85" t="s">
        <v>2423</v>
      </c>
      <c r="AE691" s="84" t="str">
        <f>REPLACE(INDEX(GroupVertices[Group],MATCH("~"&amp;Edges[[#This Row],[Vertex 1]],GroupVertices[Vertex],0)),1,1,"")</f>
        <v>1</v>
      </c>
      <c r="AF691" s="84" t="str">
        <f>REPLACE(INDEX(GroupVertices[Group],MATCH("~"&amp;Edges[[#This Row],[Vertex 2]],GroupVertices[Vertex],0)),1,1,"")</f>
        <v>1</v>
      </c>
    </row>
    <row r="692" spans="1:32" ht="15">
      <c r="A692" s="66" t="s">
        <v>831</v>
      </c>
      <c r="B692" s="66" t="s">
        <v>907</v>
      </c>
      <c r="C692" s="67"/>
      <c r="D692" s="68"/>
      <c r="E692" s="69"/>
      <c r="F692" s="70"/>
      <c r="G692" s="67"/>
      <c r="H692" s="71"/>
      <c r="I692" s="72"/>
      <c r="J692" s="72"/>
      <c r="K692" s="35"/>
      <c r="L692" s="80">
        <v>692</v>
      </c>
      <c r="M692" s="80"/>
      <c r="N692" s="74"/>
      <c r="O692" s="82" t="s">
        <v>909</v>
      </c>
      <c r="P692" s="82" t="s">
        <v>197</v>
      </c>
      <c r="Q692" s="85" t="s">
        <v>1595</v>
      </c>
      <c r="R692" s="82" t="s">
        <v>831</v>
      </c>
      <c r="S692" s="82" t="s">
        <v>2297</v>
      </c>
      <c r="T692" s="87" t="str">
        <f>HYPERLINK("http://www.youtube.com/channel/UChC5YX4GzOVNXTb0FdN4yDg")</f>
        <v>http://www.youtube.com/channel/UChC5YX4GzOVNXTb0FdN4yDg</v>
      </c>
      <c r="U692" s="82"/>
      <c r="V692" s="82" t="s">
        <v>2375</v>
      </c>
      <c r="W692" s="87" t="str">
        <f t="shared" si="30"/>
        <v>https://www.youtube.com/watch?v=75c-kHKv0O4</v>
      </c>
      <c r="X692" s="82" t="s">
        <v>2384</v>
      </c>
      <c r="Y692" s="82">
        <v>1</v>
      </c>
      <c r="Z692" s="89">
        <v>45199.94974537037</v>
      </c>
      <c r="AA692" s="89">
        <v>45199.94974537037</v>
      </c>
      <c r="AB692" s="82"/>
      <c r="AC692" s="82"/>
      <c r="AD692" s="85" t="s">
        <v>2423</v>
      </c>
      <c r="AE692" s="84" t="str">
        <f>REPLACE(INDEX(GroupVertices[Group],MATCH("~"&amp;Edges[[#This Row],[Vertex 1]],GroupVertices[Vertex],0)),1,1,"")</f>
        <v>1</v>
      </c>
      <c r="AF692" s="84" t="str">
        <f>REPLACE(INDEX(GroupVertices[Group],MATCH("~"&amp;Edges[[#This Row],[Vertex 2]],GroupVertices[Vertex],0)),1,1,"")</f>
        <v>1</v>
      </c>
    </row>
    <row r="693" spans="1:32" ht="15">
      <c r="A693" s="66" t="s">
        <v>831</v>
      </c>
      <c r="B693" s="66" t="s">
        <v>907</v>
      </c>
      <c r="C693" s="67"/>
      <c r="D693" s="68"/>
      <c r="E693" s="69"/>
      <c r="F693" s="70"/>
      <c r="G693" s="67"/>
      <c r="H693" s="71"/>
      <c r="I693" s="72"/>
      <c r="J693" s="72"/>
      <c r="K693" s="35"/>
      <c r="L693" s="80">
        <v>693</v>
      </c>
      <c r="M693" s="80"/>
      <c r="N693" s="74"/>
      <c r="O693" s="82" t="s">
        <v>909</v>
      </c>
      <c r="P693" s="82" t="s">
        <v>197</v>
      </c>
      <c r="Q693" s="85" t="s">
        <v>1596</v>
      </c>
      <c r="R693" s="82" t="s">
        <v>831</v>
      </c>
      <c r="S693" s="82" t="s">
        <v>2297</v>
      </c>
      <c r="T693" s="87" t="str">
        <f>HYPERLINK("http://www.youtube.com/channel/UChC5YX4GzOVNXTb0FdN4yDg")</f>
        <v>http://www.youtube.com/channel/UChC5YX4GzOVNXTb0FdN4yDg</v>
      </c>
      <c r="U693" s="82"/>
      <c r="V693" s="82" t="s">
        <v>2375</v>
      </c>
      <c r="W693" s="87" t="str">
        <f t="shared" si="30"/>
        <v>https://www.youtube.com/watch?v=75c-kHKv0O4</v>
      </c>
      <c r="X693" s="82" t="s">
        <v>2384</v>
      </c>
      <c r="Y693" s="82">
        <v>0</v>
      </c>
      <c r="Z693" s="89">
        <v>45199.95203703704</v>
      </c>
      <c r="AA693" s="89">
        <v>45199.95203703704</v>
      </c>
      <c r="AB693" s="82"/>
      <c r="AC693" s="82"/>
      <c r="AD693" s="85" t="s">
        <v>2423</v>
      </c>
      <c r="AE693" s="84" t="str">
        <f>REPLACE(INDEX(GroupVertices[Group],MATCH("~"&amp;Edges[[#This Row],[Vertex 1]],GroupVertices[Vertex],0)),1,1,"")</f>
        <v>1</v>
      </c>
      <c r="AF693" s="84" t="str">
        <f>REPLACE(INDEX(GroupVertices[Group],MATCH("~"&amp;Edges[[#This Row],[Vertex 2]],GroupVertices[Vertex],0)),1,1,"")</f>
        <v>1</v>
      </c>
    </row>
    <row r="694" spans="1:32" ht="15">
      <c r="A694" s="66" t="s">
        <v>832</v>
      </c>
      <c r="B694" s="66" t="s">
        <v>907</v>
      </c>
      <c r="C694" s="67"/>
      <c r="D694" s="68"/>
      <c r="E694" s="69"/>
      <c r="F694" s="70"/>
      <c r="G694" s="67"/>
      <c r="H694" s="71"/>
      <c r="I694" s="72"/>
      <c r="J694" s="72"/>
      <c r="K694" s="35"/>
      <c r="L694" s="80">
        <v>694</v>
      </c>
      <c r="M694" s="80"/>
      <c r="N694" s="74"/>
      <c r="O694" s="82" t="s">
        <v>909</v>
      </c>
      <c r="P694" s="82" t="s">
        <v>197</v>
      </c>
      <c r="Q694" s="85" t="s">
        <v>1597</v>
      </c>
      <c r="R694" s="82" t="s">
        <v>832</v>
      </c>
      <c r="S694" s="82" t="s">
        <v>2298</v>
      </c>
      <c r="T694" s="87" t="str">
        <f>HYPERLINK("http://www.youtube.com/channel/UCKuALA3rXsyIAFyKZp7L_ew")</f>
        <v>http://www.youtube.com/channel/UCKuALA3rXsyIAFyKZp7L_ew</v>
      </c>
      <c r="U694" s="82"/>
      <c r="V694" s="82" t="s">
        <v>2375</v>
      </c>
      <c r="W694" s="87" t="str">
        <f t="shared" si="30"/>
        <v>https://www.youtube.com/watch?v=75c-kHKv0O4</v>
      </c>
      <c r="X694" s="82" t="s">
        <v>2384</v>
      </c>
      <c r="Y694" s="82">
        <v>0</v>
      </c>
      <c r="Z694" s="89">
        <v>45200.31915509259</v>
      </c>
      <c r="AA694" s="89">
        <v>45200.31915509259</v>
      </c>
      <c r="AB694" s="82" t="s">
        <v>2410</v>
      </c>
      <c r="AC694" s="82" t="s">
        <v>2422</v>
      </c>
      <c r="AD694" s="85" t="s">
        <v>2423</v>
      </c>
      <c r="AE694" s="84" t="str">
        <f>REPLACE(INDEX(GroupVertices[Group],MATCH("~"&amp;Edges[[#This Row],[Vertex 1]],GroupVertices[Vertex],0)),1,1,"")</f>
        <v>1</v>
      </c>
      <c r="AF694" s="84" t="str">
        <f>REPLACE(INDEX(GroupVertices[Group],MATCH("~"&amp;Edges[[#This Row],[Vertex 2]],GroupVertices[Vertex],0)),1,1,"")</f>
        <v>1</v>
      </c>
    </row>
    <row r="695" spans="1:32" ht="15">
      <c r="A695" s="66" t="s">
        <v>832</v>
      </c>
      <c r="B695" s="66" t="s">
        <v>907</v>
      </c>
      <c r="C695" s="67"/>
      <c r="D695" s="68"/>
      <c r="E695" s="69"/>
      <c r="F695" s="70"/>
      <c r="G695" s="67"/>
      <c r="H695" s="71"/>
      <c r="I695" s="72"/>
      <c r="J695" s="72"/>
      <c r="K695" s="35"/>
      <c r="L695" s="80">
        <v>695</v>
      </c>
      <c r="M695" s="80"/>
      <c r="N695" s="74"/>
      <c r="O695" s="82" t="s">
        <v>909</v>
      </c>
      <c r="P695" s="82" t="s">
        <v>197</v>
      </c>
      <c r="Q695" s="85" t="s">
        <v>1598</v>
      </c>
      <c r="R695" s="82" t="s">
        <v>832</v>
      </c>
      <c r="S695" s="82" t="s">
        <v>2298</v>
      </c>
      <c r="T695" s="87" t="str">
        <f>HYPERLINK("http://www.youtube.com/channel/UCKuALA3rXsyIAFyKZp7L_ew")</f>
        <v>http://www.youtube.com/channel/UCKuALA3rXsyIAFyKZp7L_ew</v>
      </c>
      <c r="U695" s="82"/>
      <c r="V695" s="82" t="s">
        <v>2375</v>
      </c>
      <c r="W695" s="87" t="str">
        <f t="shared" si="30"/>
        <v>https://www.youtube.com/watch?v=75c-kHKv0O4</v>
      </c>
      <c r="X695" s="82" t="s">
        <v>2384</v>
      </c>
      <c r="Y695" s="82">
        <v>0</v>
      </c>
      <c r="Z695" s="89">
        <v>45200.33490740741</v>
      </c>
      <c r="AA695" s="89">
        <v>45200.33490740741</v>
      </c>
      <c r="AB695" s="82"/>
      <c r="AC695" s="82"/>
      <c r="AD695" s="85" t="s">
        <v>2423</v>
      </c>
      <c r="AE695" s="84" t="str">
        <f>REPLACE(INDEX(GroupVertices[Group],MATCH("~"&amp;Edges[[#This Row],[Vertex 1]],GroupVertices[Vertex],0)),1,1,"")</f>
        <v>1</v>
      </c>
      <c r="AF695" s="84" t="str">
        <f>REPLACE(INDEX(GroupVertices[Group],MATCH("~"&amp;Edges[[#This Row],[Vertex 2]],GroupVertices[Vertex],0)),1,1,"")</f>
        <v>1</v>
      </c>
    </row>
    <row r="696" spans="1:32" ht="15">
      <c r="A696" s="66" t="s">
        <v>833</v>
      </c>
      <c r="B696" s="66" t="s">
        <v>907</v>
      </c>
      <c r="C696" s="67"/>
      <c r="D696" s="68"/>
      <c r="E696" s="69"/>
      <c r="F696" s="70"/>
      <c r="G696" s="67"/>
      <c r="H696" s="71"/>
      <c r="I696" s="72"/>
      <c r="J696" s="72"/>
      <c r="K696" s="35"/>
      <c r="L696" s="80">
        <v>696</v>
      </c>
      <c r="M696" s="80"/>
      <c r="N696" s="74"/>
      <c r="O696" s="82" t="s">
        <v>909</v>
      </c>
      <c r="P696" s="82" t="s">
        <v>197</v>
      </c>
      <c r="Q696" s="85" t="s">
        <v>1599</v>
      </c>
      <c r="R696" s="82" t="s">
        <v>833</v>
      </c>
      <c r="S696" s="82" t="s">
        <v>2299</v>
      </c>
      <c r="T696" s="87" t="str">
        <f>HYPERLINK("http://www.youtube.com/channel/UCrpXDjwmMWvV61EVxbdCwXQ")</f>
        <v>http://www.youtube.com/channel/UCrpXDjwmMWvV61EVxbdCwXQ</v>
      </c>
      <c r="U696" s="82"/>
      <c r="V696" s="82" t="s">
        <v>2375</v>
      </c>
      <c r="W696" s="87" t="str">
        <f t="shared" si="30"/>
        <v>https://www.youtube.com/watch?v=75c-kHKv0O4</v>
      </c>
      <c r="X696" s="82" t="s">
        <v>2384</v>
      </c>
      <c r="Y696" s="82">
        <v>0</v>
      </c>
      <c r="Z696" s="89">
        <v>45200.38315972222</v>
      </c>
      <c r="AA696" s="89">
        <v>45200.38315972222</v>
      </c>
      <c r="AB696" s="82"/>
      <c r="AC696" s="82"/>
      <c r="AD696" s="85" t="s">
        <v>2423</v>
      </c>
      <c r="AE696" s="84" t="str">
        <f>REPLACE(INDEX(GroupVertices[Group],MATCH("~"&amp;Edges[[#This Row],[Vertex 1]],GroupVertices[Vertex],0)),1,1,"")</f>
        <v>1</v>
      </c>
      <c r="AF696" s="84" t="str">
        <f>REPLACE(INDEX(GroupVertices[Group],MATCH("~"&amp;Edges[[#This Row],[Vertex 2]],GroupVertices[Vertex],0)),1,1,"")</f>
        <v>1</v>
      </c>
    </row>
    <row r="697" spans="1:32" ht="15">
      <c r="A697" s="66" t="s">
        <v>834</v>
      </c>
      <c r="B697" s="66" t="s">
        <v>907</v>
      </c>
      <c r="C697" s="67"/>
      <c r="D697" s="68"/>
      <c r="E697" s="69"/>
      <c r="F697" s="70"/>
      <c r="G697" s="67"/>
      <c r="H697" s="71"/>
      <c r="I697" s="72"/>
      <c r="J697" s="72"/>
      <c r="K697" s="35"/>
      <c r="L697" s="80">
        <v>697</v>
      </c>
      <c r="M697" s="80"/>
      <c r="N697" s="74"/>
      <c r="O697" s="82" t="s">
        <v>909</v>
      </c>
      <c r="P697" s="82" t="s">
        <v>197</v>
      </c>
      <c r="Q697" s="85" t="s">
        <v>1600</v>
      </c>
      <c r="R697" s="82" t="s">
        <v>834</v>
      </c>
      <c r="S697" s="82" t="s">
        <v>2300</v>
      </c>
      <c r="T697" s="87" t="str">
        <f>HYPERLINK("http://www.youtube.com/channel/UCx0EejgZKNO6QbXHaZ8h0Dg")</f>
        <v>http://www.youtube.com/channel/UCx0EejgZKNO6QbXHaZ8h0Dg</v>
      </c>
      <c r="U697" s="82"/>
      <c r="V697" s="82" t="s">
        <v>2375</v>
      </c>
      <c r="W697" s="87" t="str">
        <f t="shared" si="30"/>
        <v>https://www.youtube.com/watch?v=75c-kHKv0O4</v>
      </c>
      <c r="X697" s="82" t="s">
        <v>2384</v>
      </c>
      <c r="Y697" s="82">
        <v>0</v>
      </c>
      <c r="Z697" s="89">
        <v>45200.4483912037</v>
      </c>
      <c r="AA697" s="89">
        <v>45200.4483912037</v>
      </c>
      <c r="AB697" s="82"/>
      <c r="AC697" s="82"/>
      <c r="AD697" s="85" t="s">
        <v>2423</v>
      </c>
      <c r="AE697" s="84" t="str">
        <f>REPLACE(INDEX(GroupVertices[Group],MATCH("~"&amp;Edges[[#This Row],[Vertex 1]],GroupVertices[Vertex],0)),1,1,"")</f>
        <v>1</v>
      </c>
      <c r="AF697" s="84" t="str">
        <f>REPLACE(INDEX(GroupVertices[Group],MATCH("~"&amp;Edges[[#This Row],[Vertex 2]],GroupVertices[Vertex],0)),1,1,"")</f>
        <v>1</v>
      </c>
    </row>
    <row r="698" spans="1:32" ht="15">
      <c r="A698" s="66" t="s">
        <v>835</v>
      </c>
      <c r="B698" s="66" t="s">
        <v>907</v>
      </c>
      <c r="C698" s="67"/>
      <c r="D698" s="68"/>
      <c r="E698" s="69"/>
      <c r="F698" s="70"/>
      <c r="G698" s="67"/>
      <c r="H698" s="71"/>
      <c r="I698" s="72"/>
      <c r="J698" s="72"/>
      <c r="K698" s="35"/>
      <c r="L698" s="80">
        <v>698</v>
      </c>
      <c r="M698" s="80"/>
      <c r="N698" s="74"/>
      <c r="O698" s="82" t="s">
        <v>909</v>
      </c>
      <c r="P698" s="82" t="s">
        <v>197</v>
      </c>
      <c r="Q698" s="85" t="s">
        <v>1601</v>
      </c>
      <c r="R698" s="82" t="s">
        <v>835</v>
      </c>
      <c r="S698" s="82" t="s">
        <v>2301</v>
      </c>
      <c r="T698" s="87" t="str">
        <f>HYPERLINK("http://www.youtube.com/channel/UCRdRqoh6R4sfS3KoHypCYCA")</f>
        <v>http://www.youtube.com/channel/UCRdRqoh6R4sfS3KoHypCYCA</v>
      </c>
      <c r="U698" s="82"/>
      <c r="V698" s="82" t="s">
        <v>2375</v>
      </c>
      <c r="W698" s="87" t="str">
        <f t="shared" si="30"/>
        <v>https://www.youtube.com/watch?v=75c-kHKv0O4</v>
      </c>
      <c r="X698" s="82" t="s">
        <v>2384</v>
      </c>
      <c r="Y698" s="82">
        <v>0</v>
      </c>
      <c r="Z698" s="89">
        <v>45200.78650462963</v>
      </c>
      <c r="AA698" s="89">
        <v>45200.78650462963</v>
      </c>
      <c r="AB698" s="82"/>
      <c r="AC698" s="82"/>
      <c r="AD698" s="85" t="s">
        <v>2423</v>
      </c>
      <c r="AE698" s="84" t="str">
        <f>REPLACE(INDEX(GroupVertices[Group],MATCH("~"&amp;Edges[[#This Row],[Vertex 1]],GroupVertices[Vertex],0)),1,1,"")</f>
        <v>1</v>
      </c>
      <c r="AF698" s="84" t="str">
        <f>REPLACE(INDEX(GroupVertices[Group],MATCH("~"&amp;Edges[[#This Row],[Vertex 2]],GroupVertices[Vertex],0)),1,1,"")</f>
        <v>1</v>
      </c>
    </row>
    <row r="699" spans="1:32" ht="15">
      <c r="A699" s="66" t="s">
        <v>836</v>
      </c>
      <c r="B699" s="66" t="s">
        <v>907</v>
      </c>
      <c r="C699" s="67"/>
      <c r="D699" s="68"/>
      <c r="E699" s="69"/>
      <c r="F699" s="70"/>
      <c r="G699" s="67"/>
      <c r="H699" s="71"/>
      <c r="I699" s="72"/>
      <c r="J699" s="72"/>
      <c r="K699" s="35"/>
      <c r="L699" s="80">
        <v>699</v>
      </c>
      <c r="M699" s="80"/>
      <c r="N699" s="74"/>
      <c r="O699" s="82" t="s">
        <v>909</v>
      </c>
      <c r="P699" s="82" t="s">
        <v>197</v>
      </c>
      <c r="Q699" s="85" t="s">
        <v>1602</v>
      </c>
      <c r="R699" s="82" t="s">
        <v>836</v>
      </c>
      <c r="S699" s="82" t="s">
        <v>2302</v>
      </c>
      <c r="T699" s="87" t="str">
        <f>HYPERLINK("http://www.youtube.com/channel/UCnFTAS-VWbm7meRN3thQyRg")</f>
        <v>http://www.youtube.com/channel/UCnFTAS-VWbm7meRN3thQyRg</v>
      </c>
      <c r="U699" s="82"/>
      <c r="V699" s="82" t="s">
        <v>2375</v>
      </c>
      <c r="W699" s="87" t="str">
        <f t="shared" si="30"/>
        <v>https://www.youtube.com/watch?v=75c-kHKv0O4</v>
      </c>
      <c r="X699" s="82" t="s">
        <v>2384</v>
      </c>
      <c r="Y699" s="82">
        <v>1</v>
      </c>
      <c r="Z699" s="89">
        <v>45200.81267361111</v>
      </c>
      <c r="AA699" s="89">
        <v>45200.81267361111</v>
      </c>
      <c r="AB699" s="82"/>
      <c r="AC699" s="82"/>
      <c r="AD699" s="85" t="s">
        <v>2423</v>
      </c>
      <c r="AE699" s="84" t="str">
        <f>REPLACE(INDEX(GroupVertices[Group],MATCH("~"&amp;Edges[[#This Row],[Vertex 1]],GroupVertices[Vertex],0)),1,1,"")</f>
        <v>1</v>
      </c>
      <c r="AF699" s="84" t="str">
        <f>REPLACE(INDEX(GroupVertices[Group],MATCH("~"&amp;Edges[[#This Row],[Vertex 2]],GroupVertices[Vertex],0)),1,1,"")</f>
        <v>1</v>
      </c>
    </row>
    <row r="700" spans="1:32" ht="15">
      <c r="A700" s="66" t="s">
        <v>837</v>
      </c>
      <c r="B700" s="66" t="s">
        <v>899</v>
      </c>
      <c r="C700" s="67"/>
      <c r="D700" s="68"/>
      <c r="E700" s="69"/>
      <c r="F700" s="70"/>
      <c r="G700" s="67"/>
      <c r="H700" s="71"/>
      <c r="I700" s="72"/>
      <c r="J700" s="72"/>
      <c r="K700" s="35"/>
      <c r="L700" s="80">
        <v>700</v>
      </c>
      <c r="M700" s="80"/>
      <c r="N700" s="74"/>
      <c r="O700" s="82" t="s">
        <v>909</v>
      </c>
      <c r="P700" s="82" t="s">
        <v>197</v>
      </c>
      <c r="Q700" s="85" t="s">
        <v>1603</v>
      </c>
      <c r="R700" s="82" t="s">
        <v>837</v>
      </c>
      <c r="S700" s="82" t="s">
        <v>2303</v>
      </c>
      <c r="T700" s="87" t="str">
        <f>HYPERLINK("http://www.youtube.com/channel/UCrHh9KkBT_15E02JEsEqM0Q")</f>
        <v>http://www.youtube.com/channel/UCrHh9KkBT_15E02JEsEqM0Q</v>
      </c>
      <c r="U700" s="82"/>
      <c r="V700" s="82" t="s">
        <v>2366</v>
      </c>
      <c r="W700" s="87" t="str">
        <f>HYPERLINK("https://www.youtube.com/watch?v=sgOEGKDVvsg")</f>
        <v>https://www.youtube.com/watch?v=sgOEGKDVvsg</v>
      </c>
      <c r="X700" s="82" t="s">
        <v>2384</v>
      </c>
      <c r="Y700" s="82">
        <v>0</v>
      </c>
      <c r="Z700" s="89">
        <v>45223.00047453704</v>
      </c>
      <c r="AA700" s="89">
        <v>45223.011030092595</v>
      </c>
      <c r="AB700" s="82"/>
      <c r="AC700" s="82"/>
      <c r="AD700" s="85" t="s">
        <v>2423</v>
      </c>
      <c r="AE700" s="84" t="str">
        <f>REPLACE(INDEX(GroupVertices[Group],MATCH("~"&amp;Edges[[#This Row],[Vertex 1]],GroupVertices[Vertex],0)),1,1,"")</f>
        <v>7</v>
      </c>
      <c r="AF700" s="84" t="str">
        <f>REPLACE(INDEX(GroupVertices[Group],MATCH("~"&amp;Edges[[#This Row],[Vertex 2]],GroupVertices[Vertex],0)),1,1,"")</f>
        <v>7</v>
      </c>
    </row>
    <row r="701" spans="1:32" ht="15">
      <c r="A701" s="66" t="s">
        <v>837</v>
      </c>
      <c r="B701" s="66" t="s">
        <v>899</v>
      </c>
      <c r="C701" s="67"/>
      <c r="D701" s="68"/>
      <c r="E701" s="69"/>
      <c r="F701" s="70"/>
      <c r="G701" s="67"/>
      <c r="H701" s="71"/>
      <c r="I701" s="72"/>
      <c r="J701" s="72"/>
      <c r="K701" s="35"/>
      <c r="L701" s="80">
        <v>701</v>
      </c>
      <c r="M701" s="80"/>
      <c r="N701" s="74"/>
      <c r="O701" s="82" t="s">
        <v>909</v>
      </c>
      <c r="P701" s="82" t="s">
        <v>197</v>
      </c>
      <c r="Q701" s="85" t="s">
        <v>1604</v>
      </c>
      <c r="R701" s="82" t="s">
        <v>837</v>
      </c>
      <c r="S701" s="82" t="s">
        <v>2303</v>
      </c>
      <c r="T701" s="87" t="str">
        <f>HYPERLINK("http://www.youtube.com/channel/UCrHh9KkBT_15E02JEsEqM0Q")</f>
        <v>http://www.youtube.com/channel/UCrHh9KkBT_15E02JEsEqM0Q</v>
      </c>
      <c r="U701" s="82"/>
      <c r="V701" s="82" t="s">
        <v>2366</v>
      </c>
      <c r="W701" s="87" t="str">
        <f>HYPERLINK("https://www.youtube.com/watch?v=sgOEGKDVvsg")</f>
        <v>https://www.youtube.com/watch?v=sgOEGKDVvsg</v>
      </c>
      <c r="X701" s="82" t="s">
        <v>2384</v>
      </c>
      <c r="Y701" s="82">
        <v>0</v>
      </c>
      <c r="Z701" s="89">
        <v>45223.05465277778</v>
      </c>
      <c r="AA701" s="89">
        <v>45223.05465277778</v>
      </c>
      <c r="AB701" s="82"/>
      <c r="AC701" s="82"/>
      <c r="AD701" s="85" t="s">
        <v>2423</v>
      </c>
      <c r="AE701" s="84" t="str">
        <f>REPLACE(INDEX(GroupVertices[Group],MATCH("~"&amp;Edges[[#This Row],[Vertex 1]],GroupVertices[Vertex],0)),1,1,"")</f>
        <v>7</v>
      </c>
      <c r="AF701" s="84" t="str">
        <f>REPLACE(INDEX(GroupVertices[Group],MATCH("~"&amp;Edges[[#This Row],[Vertex 2]],GroupVertices[Vertex],0)),1,1,"")</f>
        <v>7</v>
      </c>
    </row>
    <row r="702" spans="1:32" ht="15">
      <c r="A702" s="66" t="s">
        <v>837</v>
      </c>
      <c r="B702" s="66" t="s">
        <v>907</v>
      </c>
      <c r="C702" s="67"/>
      <c r="D702" s="68"/>
      <c r="E702" s="69"/>
      <c r="F702" s="70"/>
      <c r="G702" s="67"/>
      <c r="H702" s="71"/>
      <c r="I702" s="72"/>
      <c r="J702" s="72"/>
      <c r="K702" s="35"/>
      <c r="L702" s="80">
        <v>702</v>
      </c>
      <c r="M702" s="80"/>
      <c r="N702" s="74"/>
      <c r="O702" s="82" t="s">
        <v>909</v>
      </c>
      <c r="P702" s="82" t="s">
        <v>197</v>
      </c>
      <c r="Q702" s="85" t="s">
        <v>1605</v>
      </c>
      <c r="R702" s="82" t="s">
        <v>837</v>
      </c>
      <c r="S702" s="82" t="s">
        <v>2303</v>
      </c>
      <c r="T702" s="87" t="str">
        <f>HYPERLINK("http://www.youtube.com/channel/UCrHh9KkBT_15E02JEsEqM0Q")</f>
        <v>http://www.youtube.com/channel/UCrHh9KkBT_15E02JEsEqM0Q</v>
      </c>
      <c r="U702" s="82"/>
      <c r="V702" s="82" t="s">
        <v>2375</v>
      </c>
      <c r="W702" s="87" t="str">
        <f aca="true" t="shared" si="31" ref="W702:W734">HYPERLINK("https://www.youtube.com/watch?v=75c-kHKv0O4")</f>
        <v>https://www.youtube.com/watch?v=75c-kHKv0O4</v>
      </c>
      <c r="X702" s="82" t="s">
        <v>2384</v>
      </c>
      <c r="Y702" s="82">
        <v>0</v>
      </c>
      <c r="Z702" s="89">
        <v>45201.04471064815</v>
      </c>
      <c r="AA702" s="89">
        <v>45201.04471064815</v>
      </c>
      <c r="AB702" s="82"/>
      <c r="AC702" s="82"/>
      <c r="AD702" s="85" t="s">
        <v>2423</v>
      </c>
      <c r="AE702" s="84" t="str">
        <f>REPLACE(INDEX(GroupVertices[Group],MATCH("~"&amp;Edges[[#This Row],[Vertex 1]],GroupVertices[Vertex],0)),1,1,"")</f>
        <v>7</v>
      </c>
      <c r="AF702" s="84" t="str">
        <f>REPLACE(INDEX(GroupVertices[Group],MATCH("~"&amp;Edges[[#This Row],[Vertex 2]],GroupVertices[Vertex],0)),1,1,"")</f>
        <v>1</v>
      </c>
    </row>
    <row r="703" spans="1:32" ht="15">
      <c r="A703" s="66" t="s">
        <v>838</v>
      </c>
      <c r="B703" s="66" t="s">
        <v>907</v>
      </c>
      <c r="C703" s="67"/>
      <c r="D703" s="68"/>
      <c r="E703" s="69"/>
      <c r="F703" s="70"/>
      <c r="G703" s="67"/>
      <c r="H703" s="71"/>
      <c r="I703" s="72"/>
      <c r="J703" s="72"/>
      <c r="K703" s="35"/>
      <c r="L703" s="80">
        <v>703</v>
      </c>
      <c r="M703" s="80"/>
      <c r="N703" s="74"/>
      <c r="O703" s="82" t="s">
        <v>909</v>
      </c>
      <c r="P703" s="82" t="s">
        <v>197</v>
      </c>
      <c r="Q703" s="85" t="s">
        <v>1606</v>
      </c>
      <c r="R703" s="82" t="s">
        <v>838</v>
      </c>
      <c r="S703" s="82" t="s">
        <v>2304</v>
      </c>
      <c r="T703" s="87" t="str">
        <f>HYPERLINK("http://www.youtube.com/channel/UCNqJg82UUprbX2BnKMJLXZQ")</f>
        <v>http://www.youtube.com/channel/UCNqJg82UUprbX2BnKMJLXZQ</v>
      </c>
      <c r="U703" s="82"/>
      <c r="V703" s="82" t="s">
        <v>2375</v>
      </c>
      <c r="W703" s="87" t="str">
        <f t="shared" si="31"/>
        <v>https://www.youtube.com/watch?v=75c-kHKv0O4</v>
      </c>
      <c r="X703" s="82" t="s">
        <v>2384</v>
      </c>
      <c r="Y703" s="82">
        <v>0</v>
      </c>
      <c r="Z703" s="89">
        <v>45201.06814814815</v>
      </c>
      <c r="AA703" s="89">
        <v>45201.06814814815</v>
      </c>
      <c r="AB703" s="82"/>
      <c r="AC703" s="82"/>
      <c r="AD703" s="85" t="s">
        <v>2423</v>
      </c>
      <c r="AE703" s="84" t="str">
        <f>REPLACE(INDEX(GroupVertices[Group],MATCH("~"&amp;Edges[[#This Row],[Vertex 1]],GroupVertices[Vertex],0)),1,1,"")</f>
        <v>1</v>
      </c>
      <c r="AF703" s="84" t="str">
        <f>REPLACE(INDEX(GroupVertices[Group],MATCH("~"&amp;Edges[[#This Row],[Vertex 2]],GroupVertices[Vertex],0)),1,1,"")</f>
        <v>1</v>
      </c>
    </row>
    <row r="704" spans="1:32" ht="15">
      <c r="A704" s="66" t="s">
        <v>839</v>
      </c>
      <c r="B704" s="66" t="s">
        <v>907</v>
      </c>
      <c r="C704" s="67"/>
      <c r="D704" s="68"/>
      <c r="E704" s="69"/>
      <c r="F704" s="70"/>
      <c r="G704" s="67"/>
      <c r="H704" s="71"/>
      <c r="I704" s="72"/>
      <c r="J704" s="72"/>
      <c r="K704" s="35"/>
      <c r="L704" s="80">
        <v>704</v>
      </c>
      <c r="M704" s="80"/>
      <c r="N704" s="74"/>
      <c r="O704" s="82" t="s">
        <v>909</v>
      </c>
      <c r="P704" s="82" t="s">
        <v>197</v>
      </c>
      <c r="Q704" s="85" t="s">
        <v>1607</v>
      </c>
      <c r="R704" s="82" t="s">
        <v>839</v>
      </c>
      <c r="S704" s="82" t="s">
        <v>2305</v>
      </c>
      <c r="T704" s="87" t="str">
        <f>HYPERLINK("http://www.youtube.com/channel/UCNRxYxiJ71QzpM9leZifi4A")</f>
        <v>http://www.youtube.com/channel/UCNRxYxiJ71QzpM9leZifi4A</v>
      </c>
      <c r="U704" s="82"/>
      <c r="V704" s="82" t="s">
        <v>2375</v>
      </c>
      <c r="W704" s="87" t="str">
        <f t="shared" si="31"/>
        <v>https://www.youtube.com/watch?v=75c-kHKv0O4</v>
      </c>
      <c r="X704" s="82" t="s">
        <v>2384</v>
      </c>
      <c r="Y704" s="82">
        <v>0</v>
      </c>
      <c r="Z704" s="89">
        <v>45201.07952546296</v>
      </c>
      <c r="AA704" s="89">
        <v>45201.082870370374</v>
      </c>
      <c r="AB704" s="82" t="s">
        <v>2411</v>
      </c>
      <c r="AC704" s="82" t="s">
        <v>2414</v>
      </c>
      <c r="AD704" s="85" t="s">
        <v>2423</v>
      </c>
      <c r="AE704" s="84" t="str">
        <f>REPLACE(INDEX(GroupVertices[Group],MATCH("~"&amp;Edges[[#This Row],[Vertex 1]],GroupVertices[Vertex],0)),1,1,"")</f>
        <v>1</v>
      </c>
      <c r="AF704" s="84" t="str">
        <f>REPLACE(INDEX(GroupVertices[Group],MATCH("~"&amp;Edges[[#This Row],[Vertex 2]],GroupVertices[Vertex],0)),1,1,"")</f>
        <v>1</v>
      </c>
    </row>
    <row r="705" spans="1:32" ht="15">
      <c r="A705" s="66" t="s">
        <v>840</v>
      </c>
      <c r="B705" s="66" t="s">
        <v>907</v>
      </c>
      <c r="C705" s="67"/>
      <c r="D705" s="68"/>
      <c r="E705" s="69"/>
      <c r="F705" s="70"/>
      <c r="G705" s="67"/>
      <c r="H705" s="71"/>
      <c r="I705" s="72"/>
      <c r="J705" s="72"/>
      <c r="K705" s="35"/>
      <c r="L705" s="80">
        <v>705</v>
      </c>
      <c r="M705" s="80"/>
      <c r="N705" s="74"/>
      <c r="O705" s="82" t="s">
        <v>909</v>
      </c>
      <c r="P705" s="82" t="s">
        <v>197</v>
      </c>
      <c r="Q705" s="85" t="s">
        <v>1608</v>
      </c>
      <c r="R705" s="82" t="s">
        <v>840</v>
      </c>
      <c r="S705" s="82" t="s">
        <v>2306</v>
      </c>
      <c r="T705" s="87" t="str">
        <f>HYPERLINK("http://www.youtube.com/channel/UC8r8-cyCSolioAwTpRF9k-A")</f>
        <v>http://www.youtube.com/channel/UC8r8-cyCSolioAwTpRF9k-A</v>
      </c>
      <c r="U705" s="82"/>
      <c r="V705" s="82" t="s">
        <v>2375</v>
      </c>
      <c r="W705" s="87" t="str">
        <f t="shared" si="31"/>
        <v>https://www.youtube.com/watch?v=75c-kHKv0O4</v>
      </c>
      <c r="X705" s="82" t="s">
        <v>2384</v>
      </c>
      <c r="Y705" s="82">
        <v>0</v>
      </c>
      <c r="Z705" s="89">
        <v>45201.22106481482</v>
      </c>
      <c r="AA705" s="89">
        <v>45201.22106481482</v>
      </c>
      <c r="AB705" s="82"/>
      <c r="AC705" s="82"/>
      <c r="AD705" s="85" t="s">
        <v>2423</v>
      </c>
      <c r="AE705" s="84" t="str">
        <f>REPLACE(INDEX(GroupVertices[Group],MATCH("~"&amp;Edges[[#This Row],[Vertex 1]],GroupVertices[Vertex],0)),1,1,"")</f>
        <v>1</v>
      </c>
      <c r="AF705" s="84" t="str">
        <f>REPLACE(INDEX(GroupVertices[Group],MATCH("~"&amp;Edges[[#This Row],[Vertex 2]],GroupVertices[Vertex],0)),1,1,"")</f>
        <v>1</v>
      </c>
    </row>
    <row r="706" spans="1:32" ht="15">
      <c r="A706" s="66" t="s">
        <v>841</v>
      </c>
      <c r="B706" s="66" t="s">
        <v>907</v>
      </c>
      <c r="C706" s="67"/>
      <c r="D706" s="68"/>
      <c r="E706" s="69"/>
      <c r="F706" s="70"/>
      <c r="G706" s="67"/>
      <c r="H706" s="71"/>
      <c r="I706" s="72"/>
      <c r="J706" s="72"/>
      <c r="K706" s="35"/>
      <c r="L706" s="80">
        <v>706</v>
      </c>
      <c r="M706" s="80"/>
      <c r="N706" s="74"/>
      <c r="O706" s="82" t="s">
        <v>909</v>
      </c>
      <c r="P706" s="82" t="s">
        <v>197</v>
      </c>
      <c r="Q706" s="85" t="s">
        <v>1609</v>
      </c>
      <c r="R706" s="82" t="s">
        <v>841</v>
      </c>
      <c r="S706" s="82" t="s">
        <v>2307</v>
      </c>
      <c r="T706" s="87" t="str">
        <f>HYPERLINK("http://www.youtube.com/channel/UCe8yxzbkCon8fNaEY-NL7sA")</f>
        <v>http://www.youtube.com/channel/UCe8yxzbkCon8fNaEY-NL7sA</v>
      </c>
      <c r="U706" s="82"/>
      <c r="V706" s="82" t="s">
        <v>2375</v>
      </c>
      <c r="W706" s="87" t="str">
        <f t="shared" si="31"/>
        <v>https://www.youtube.com/watch?v=75c-kHKv0O4</v>
      </c>
      <c r="X706" s="82" t="s">
        <v>2384</v>
      </c>
      <c r="Y706" s="82">
        <v>0</v>
      </c>
      <c r="Z706" s="89">
        <v>45201.60019675926</v>
      </c>
      <c r="AA706" s="89">
        <v>45201.60351851852</v>
      </c>
      <c r="AB706" s="82"/>
      <c r="AC706" s="82"/>
      <c r="AD706" s="85" t="s">
        <v>2423</v>
      </c>
      <c r="AE706" s="84" t="str">
        <f>REPLACE(INDEX(GroupVertices[Group],MATCH("~"&amp;Edges[[#This Row],[Vertex 1]],GroupVertices[Vertex],0)),1,1,"")</f>
        <v>1</v>
      </c>
      <c r="AF706" s="84" t="str">
        <f>REPLACE(INDEX(GroupVertices[Group],MATCH("~"&amp;Edges[[#This Row],[Vertex 2]],GroupVertices[Vertex],0)),1,1,"")</f>
        <v>1</v>
      </c>
    </row>
    <row r="707" spans="1:32" ht="15">
      <c r="A707" s="66" t="s">
        <v>842</v>
      </c>
      <c r="B707" s="66" t="s">
        <v>907</v>
      </c>
      <c r="C707" s="67"/>
      <c r="D707" s="68"/>
      <c r="E707" s="69"/>
      <c r="F707" s="70"/>
      <c r="G707" s="67"/>
      <c r="H707" s="71"/>
      <c r="I707" s="72"/>
      <c r="J707" s="72"/>
      <c r="K707" s="35"/>
      <c r="L707" s="80">
        <v>707</v>
      </c>
      <c r="M707" s="80"/>
      <c r="N707" s="74"/>
      <c r="O707" s="82" t="s">
        <v>909</v>
      </c>
      <c r="P707" s="82" t="s">
        <v>197</v>
      </c>
      <c r="Q707" s="85" t="s">
        <v>1610</v>
      </c>
      <c r="R707" s="82" t="s">
        <v>842</v>
      </c>
      <c r="S707" s="82" t="s">
        <v>2308</v>
      </c>
      <c r="T707" s="87" t="str">
        <f>HYPERLINK("http://www.youtube.com/channel/UC6xfMGAIvvaMwAndwU1cqOQ")</f>
        <v>http://www.youtube.com/channel/UC6xfMGAIvvaMwAndwU1cqOQ</v>
      </c>
      <c r="U707" s="82"/>
      <c r="V707" s="82" t="s">
        <v>2375</v>
      </c>
      <c r="W707" s="87" t="str">
        <f t="shared" si="31"/>
        <v>https://www.youtube.com/watch?v=75c-kHKv0O4</v>
      </c>
      <c r="X707" s="82" t="s">
        <v>2384</v>
      </c>
      <c r="Y707" s="82">
        <v>0</v>
      </c>
      <c r="Z707" s="89">
        <v>45201.92637731481</v>
      </c>
      <c r="AA707" s="89">
        <v>45201.92637731481</v>
      </c>
      <c r="AB707" s="82"/>
      <c r="AC707" s="82"/>
      <c r="AD707" s="85" t="s">
        <v>2423</v>
      </c>
      <c r="AE707" s="84" t="str">
        <f>REPLACE(INDEX(GroupVertices[Group],MATCH("~"&amp;Edges[[#This Row],[Vertex 1]],GroupVertices[Vertex],0)),1,1,"")</f>
        <v>1</v>
      </c>
      <c r="AF707" s="84" t="str">
        <f>REPLACE(INDEX(GroupVertices[Group],MATCH("~"&amp;Edges[[#This Row],[Vertex 2]],GroupVertices[Vertex],0)),1,1,"")</f>
        <v>1</v>
      </c>
    </row>
    <row r="708" spans="1:32" ht="15">
      <c r="A708" s="66" t="s">
        <v>843</v>
      </c>
      <c r="B708" s="66" t="s">
        <v>907</v>
      </c>
      <c r="C708" s="67"/>
      <c r="D708" s="68"/>
      <c r="E708" s="69"/>
      <c r="F708" s="70"/>
      <c r="G708" s="67"/>
      <c r="H708" s="71"/>
      <c r="I708" s="72"/>
      <c r="J708" s="72"/>
      <c r="K708" s="35"/>
      <c r="L708" s="80">
        <v>708</v>
      </c>
      <c r="M708" s="80"/>
      <c r="N708" s="74"/>
      <c r="O708" s="82" t="s">
        <v>909</v>
      </c>
      <c r="P708" s="82" t="s">
        <v>197</v>
      </c>
      <c r="Q708" s="85" t="s">
        <v>1611</v>
      </c>
      <c r="R708" s="82" t="s">
        <v>843</v>
      </c>
      <c r="S708" s="82" t="s">
        <v>2309</v>
      </c>
      <c r="T708" s="87" t="str">
        <f>HYPERLINK("http://www.youtube.com/channel/UC5T1nPUb_KBoKUZX3X8-5ig")</f>
        <v>http://www.youtube.com/channel/UC5T1nPUb_KBoKUZX3X8-5ig</v>
      </c>
      <c r="U708" s="82"/>
      <c r="V708" s="82" t="s">
        <v>2375</v>
      </c>
      <c r="W708" s="87" t="str">
        <f t="shared" si="31"/>
        <v>https://www.youtube.com/watch?v=75c-kHKv0O4</v>
      </c>
      <c r="X708" s="82" t="s">
        <v>2384</v>
      </c>
      <c r="Y708" s="82">
        <v>0</v>
      </c>
      <c r="Z708" s="89">
        <v>45202.121875</v>
      </c>
      <c r="AA708" s="89">
        <v>45202.121875</v>
      </c>
      <c r="AB708" s="82"/>
      <c r="AC708" s="82"/>
      <c r="AD708" s="85" t="s">
        <v>2423</v>
      </c>
      <c r="AE708" s="84" t="str">
        <f>REPLACE(INDEX(GroupVertices[Group],MATCH("~"&amp;Edges[[#This Row],[Vertex 1]],GroupVertices[Vertex],0)),1,1,"")</f>
        <v>1</v>
      </c>
      <c r="AF708" s="84" t="str">
        <f>REPLACE(INDEX(GroupVertices[Group],MATCH("~"&amp;Edges[[#This Row],[Vertex 2]],GroupVertices[Vertex],0)),1,1,"")</f>
        <v>1</v>
      </c>
    </row>
    <row r="709" spans="1:32" ht="15">
      <c r="A709" s="66" t="s">
        <v>844</v>
      </c>
      <c r="B709" s="66" t="s">
        <v>907</v>
      </c>
      <c r="C709" s="67"/>
      <c r="D709" s="68"/>
      <c r="E709" s="69"/>
      <c r="F709" s="70"/>
      <c r="G709" s="67"/>
      <c r="H709" s="71"/>
      <c r="I709" s="72"/>
      <c r="J709" s="72"/>
      <c r="K709" s="35"/>
      <c r="L709" s="80">
        <v>709</v>
      </c>
      <c r="M709" s="80"/>
      <c r="N709" s="74"/>
      <c r="O709" s="82" t="s">
        <v>909</v>
      </c>
      <c r="P709" s="82" t="s">
        <v>197</v>
      </c>
      <c r="Q709" s="85" t="s">
        <v>1612</v>
      </c>
      <c r="R709" s="82" t="s">
        <v>844</v>
      </c>
      <c r="S709" s="82" t="s">
        <v>2310</v>
      </c>
      <c r="T709" s="87" t="str">
        <f>HYPERLINK("http://www.youtube.com/channel/UC30YM03IuFEigyE8mgFc22Q")</f>
        <v>http://www.youtube.com/channel/UC30YM03IuFEigyE8mgFc22Q</v>
      </c>
      <c r="U709" s="82"/>
      <c r="V709" s="82" t="s">
        <v>2375</v>
      </c>
      <c r="W709" s="87" t="str">
        <f t="shared" si="31"/>
        <v>https://www.youtube.com/watch?v=75c-kHKv0O4</v>
      </c>
      <c r="X709" s="82" t="s">
        <v>2384</v>
      </c>
      <c r="Y709" s="82">
        <v>0</v>
      </c>
      <c r="Z709" s="89">
        <v>45202.37792824074</v>
      </c>
      <c r="AA709" s="89">
        <v>45202.37792824074</v>
      </c>
      <c r="AB709" s="82"/>
      <c r="AC709" s="82"/>
      <c r="AD709" s="85" t="s">
        <v>2423</v>
      </c>
      <c r="AE709" s="84" t="str">
        <f>REPLACE(INDEX(GroupVertices[Group],MATCH("~"&amp;Edges[[#This Row],[Vertex 1]],GroupVertices[Vertex],0)),1,1,"")</f>
        <v>1</v>
      </c>
      <c r="AF709" s="84" t="str">
        <f>REPLACE(INDEX(GroupVertices[Group],MATCH("~"&amp;Edges[[#This Row],[Vertex 2]],GroupVertices[Vertex],0)),1,1,"")</f>
        <v>1</v>
      </c>
    </row>
    <row r="710" spans="1:32" ht="15">
      <c r="A710" s="66" t="s">
        <v>845</v>
      </c>
      <c r="B710" s="66" t="s">
        <v>907</v>
      </c>
      <c r="C710" s="67"/>
      <c r="D710" s="68"/>
      <c r="E710" s="69"/>
      <c r="F710" s="70"/>
      <c r="G710" s="67"/>
      <c r="H710" s="71"/>
      <c r="I710" s="72"/>
      <c r="J710" s="72"/>
      <c r="K710" s="35"/>
      <c r="L710" s="80">
        <v>710</v>
      </c>
      <c r="M710" s="80"/>
      <c r="N710" s="74"/>
      <c r="O710" s="82" t="s">
        <v>909</v>
      </c>
      <c r="P710" s="82" t="s">
        <v>197</v>
      </c>
      <c r="Q710" s="85" t="s">
        <v>1613</v>
      </c>
      <c r="R710" s="82" t="s">
        <v>845</v>
      </c>
      <c r="S710" s="82" t="s">
        <v>2311</v>
      </c>
      <c r="T710" s="87" t="str">
        <f>HYPERLINK("http://www.youtube.com/channel/UCd6WW4sH6Wenv5hPVuyqhFw")</f>
        <v>http://www.youtube.com/channel/UCd6WW4sH6Wenv5hPVuyqhFw</v>
      </c>
      <c r="U710" s="82"/>
      <c r="V710" s="82" t="s">
        <v>2375</v>
      </c>
      <c r="W710" s="87" t="str">
        <f t="shared" si="31"/>
        <v>https://www.youtube.com/watch?v=75c-kHKv0O4</v>
      </c>
      <c r="X710" s="82" t="s">
        <v>2384</v>
      </c>
      <c r="Y710" s="82">
        <v>0</v>
      </c>
      <c r="Z710" s="89">
        <v>45202.96608796297</v>
      </c>
      <c r="AA710" s="89">
        <v>45202.96608796297</v>
      </c>
      <c r="AB710" s="82"/>
      <c r="AC710" s="82"/>
      <c r="AD710" s="85" t="s">
        <v>2423</v>
      </c>
      <c r="AE710" s="84" t="str">
        <f>REPLACE(INDEX(GroupVertices[Group],MATCH("~"&amp;Edges[[#This Row],[Vertex 1]],GroupVertices[Vertex],0)),1,1,"")</f>
        <v>1</v>
      </c>
      <c r="AF710" s="84" t="str">
        <f>REPLACE(INDEX(GroupVertices[Group],MATCH("~"&amp;Edges[[#This Row],[Vertex 2]],GroupVertices[Vertex],0)),1,1,"")</f>
        <v>1</v>
      </c>
    </row>
    <row r="711" spans="1:32" ht="15">
      <c r="A711" s="66" t="s">
        <v>846</v>
      </c>
      <c r="B711" s="66" t="s">
        <v>907</v>
      </c>
      <c r="C711" s="67"/>
      <c r="D711" s="68"/>
      <c r="E711" s="69"/>
      <c r="F711" s="70"/>
      <c r="G711" s="67"/>
      <c r="H711" s="71"/>
      <c r="I711" s="72"/>
      <c r="J711" s="72"/>
      <c r="K711" s="35"/>
      <c r="L711" s="80">
        <v>711</v>
      </c>
      <c r="M711" s="80"/>
      <c r="N711" s="74"/>
      <c r="O711" s="82" t="s">
        <v>909</v>
      </c>
      <c r="P711" s="82" t="s">
        <v>197</v>
      </c>
      <c r="Q711" s="85" t="s">
        <v>1614</v>
      </c>
      <c r="R711" s="82" t="s">
        <v>846</v>
      </c>
      <c r="S711" s="82" t="s">
        <v>2312</v>
      </c>
      <c r="T711" s="87" t="str">
        <f>HYPERLINK("http://www.youtube.com/channel/UCopBTPY_jAKTFeU2TqivmOA")</f>
        <v>http://www.youtube.com/channel/UCopBTPY_jAKTFeU2TqivmOA</v>
      </c>
      <c r="U711" s="82"/>
      <c r="V711" s="82" t="s">
        <v>2375</v>
      </c>
      <c r="W711" s="87" t="str">
        <f t="shared" si="31"/>
        <v>https://www.youtube.com/watch?v=75c-kHKv0O4</v>
      </c>
      <c r="X711" s="82" t="s">
        <v>2384</v>
      </c>
      <c r="Y711" s="82">
        <v>0</v>
      </c>
      <c r="Z711" s="89">
        <v>45203.72394675926</v>
      </c>
      <c r="AA711" s="89">
        <v>45203.72394675926</v>
      </c>
      <c r="AB711" s="82"/>
      <c r="AC711" s="82"/>
      <c r="AD711" s="85" t="s">
        <v>2423</v>
      </c>
      <c r="AE711" s="84" t="str">
        <f>REPLACE(INDEX(GroupVertices[Group],MATCH("~"&amp;Edges[[#This Row],[Vertex 1]],GroupVertices[Vertex],0)),1,1,"")</f>
        <v>1</v>
      </c>
      <c r="AF711" s="84" t="str">
        <f>REPLACE(INDEX(GroupVertices[Group],MATCH("~"&amp;Edges[[#This Row],[Vertex 2]],GroupVertices[Vertex],0)),1,1,"")</f>
        <v>1</v>
      </c>
    </row>
    <row r="712" spans="1:32" ht="15">
      <c r="A712" s="66" t="s">
        <v>847</v>
      </c>
      <c r="B712" s="66" t="s">
        <v>907</v>
      </c>
      <c r="C712" s="67"/>
      <c r="D712" s="68"/>
      <c r="E712" s="69"/>
      <c r="F712" s="70"/>
      <c r="G712" s="67"/>
      <c r="H712" s="71"/>
      <c r="I712" s="72"/>
      <c r="J712" s="72"/>
      <c r="K712" s="35"/>
      <c r="L712" s="80">
        <v>712</v>
      </c>
      <c r="M712" s="80"/>
      <c r="N712" s="74"/>
      <c r="O712" s="82" t="s">
        <v>909</v>
      </c>
      <c r="P712" s="82" t="s">
        <v>197</v>
      </c>
      <c r="Q712" s="85" t="s">
        <v>1615</v>
      </c>
      <c r="R712" s="82" t="s">
        <v>847</v>
      </c>
      <c r="S712" s="82" t="s">
        <v>2313</v>
      </c>
      <c r="T712" s="87" t="str">
        <f>HYPERLINK("http://www.youtube.com/channel/UCT-vOc-zLHKm2jh5gk2jTlw")</f>
        <v>http://www.youtube.com/channel/UCT-vOc-zLHKm2jh5gk2jTlw</v>
      </c>
      <c r="U712" s="82"/>
      <c r="V712" s="82" t="s">
        <v>2375</v>
      </c>
      <c r="W712" s="87" t="str">
        <f t="shared" si="31"/>
        <v>https://www.youtube.com/watch?v=75c-kHKv0O4</v>
      </c>
      <c r="X712" s="82" t="s">
        <v>2384</v>
      </c>
      <c r="Y712" s="82">
        <v>0</v>
      </c>
      <c r="Z712" s="89">
        <v>45204.247094907405</v>
      </c>
      <c r="AA712" s="89">
        <v>45204.247094907405</v>
      </c>
      <c r="AB712" s="82"/>
      <c r="AC712" s="82"/>
      <c r="AD712" s="85" t="s">
        <v>2423</v>
      </c>
      <c r="AE712" s="84" t="str">
        <f>REPLACE(INDEX(GroupVertices[Group],MATCH("~"&amp;Edges[[#This Row],[Vertex 1]],GroupVertices[Vertex],0)),1,1,"")</f>
        <v>1</v>
      </c>
      <c r="AF712" s="84" t="str">
        <f>REPLACE(INDEX(GroupVertices[Group],MATCH("~"&amp;Edges[[#This Row],[Vertex 2]],GroupVertices[Vertex],0)),1,1,"")</f>
        <v>1</v>
      </c>
    </row>
    <row r="713" spans="1:32" ht="15">
      <c r="A713" s="66" t="s">
        <v>848</v>
      </c>
      <c r="B713" s="66" t="s">
        <v>907</v>
      </c>
      <c r="C713" s="67"/>
      <c r="D713" s="68"/>
      <c r="E713" s="69"/>
      <c r="F713" s="70"/>
      <c r="G713" s="67"/>
      <c r="H713" s="71"/>
      <c r="I713" s="72"/>
      <c r="J713" s="72"/>
      <c r="K713" s="35"/>
      <c r="L713" s="80">
        <v>713</v>
      </c>
      <c r="M713" s="80"/>
      <c r="N713" s="74"/>
      <c r="O713" s="82" t="s">
        <v>909</v>
      </c>
      <c r="P713" s="82" t="s">
        <v>197</v>
      </c>
      <c r="Q713" s="85" t="s">
        <v>1616</v>
      </c>
      <c r="R713" s="82" t="s">
        <v>848</v>
      </c>
      <c r="S713" s="82" t="s">
        <v>2314</v>
      </c>
      <c r="T713" s="87" t="str">
        <f>HYPERLINK("http://www.youtube.com/channel/UCHYUAB_n-oCEI8tG4vxn84g")</f>
        <v>http://www.youtube.com/channel/UCHYUAB_n-oCEI8tG4vxn84g</v>
      </c>
      <c r="U713" s="82"/>
      <c r="V713" s="82" t="s">
        <v>2375</v>
      </c>
      <c r="W713" s="87" t="str">
        <f t="shared" si="31"/>
        <v>https://www.youtube.com/watch?v=75c-kHKv0O4</v>
      </c>
      <c r="X713" s="82" t="s">
        <v>2384</v>
      </c>
      <c r="Y713" s="82">
        <v>0</v>
      </c>
      <c r="Z713" s="89">
        <v>45205.70758101852</v>
      </c>
      <c r="AA713" s="89">
        <v>45205.70758101852</v>
      </c>
      <c r="AB713" s="82"/>
      <c r="AC713" s="82"/>
      <c r="AD713" s="85" t="s">
        <v>2423</v>
      </c>
      <c r="AE713" s="84" t="str">
        <f>REPLACE(INDEX(GroupVertices[Group],MATCH("~"&amp;Edges[[#This Row],[Vertex 1]],GroupVertices[Vertex],0)),1,1,"")</f>
        <v>1</v>
      </c>
      <c r="AF713" s="84" t="str">
        <f>REPLACE(INDEX(GroupVertices[Group],MATCH("~"&amp;Edges[[#This Row],[Vertex 2]],GroupVertices[Vertex],0)),1,1,"")</f>
        <v>1</v>
      </c>
    </row>
    <row r="714" spans="1:32" ht="15">
      <c r="A714" s="66" t="s">
        <v>849</v>
      </c>
      <c r="B714" s="66" t="s">
        <v>907</v>
      </c>
      <c r="C714" s="67"/>
      <c r="D714" s="68"/>
      <c r="E714" s="69"/>
      <c r="F714" s="70"/>
      <c r="G714" s="67"/>
      <c r="H714" s="71"/>
      <c r="I714" s="72"/>
      <c r="J714" s="72"/>
      <c r="K714" s="35"/>
      <c r="L714" s="80">
        <v>714</v>
      </c>
      <c r="M714" s="80"/>
      <c r="N714" s="74"/>
      <c r="O714" s="82" t="s">
        <v>909</v>
      </c>
      <c r="P714" s="82" t="s">
        <v>197</v>
      </c>
      <c r="Q714" s="85" t="s">
        <v>1617</v>
      </c>
      <c r="R714" s="82" t="s">
        <v>849</v>
      </c>
      <c r="S714" s="82" t="s">
        <v>2315</v>
      </c>
      <c r="T714" s="87" t="str">
        <f>HYPERLINK("http://www.youtube.com/channel/UCyK5Td9FaaPk2GRMozJRzZw")</f>
        <v>http://www.youtube.com/channel/UCyK5Td9FaaPk2GRMozJRzZw</v>
      </c>
      <c r="U714" s="82"/>
      <c r="V714" s="82" t="s">
        <v>2375</v>
      </c>
      <c r="W714" s="87" t="str">
        <f t="shared" si="31"/>
        <v>https://www.youtube.com/watch?v=75c-kHKv0O4</v>
      </c>
      <c r="X714" s="82" t="s">
        <v>2384</v>
      </c>
      <c r="Y714" s="82">
        <v>0</v>
      </c>
      <c r="Z714" s="89">
        <v>45208.20652777778</v>
      </c>
      <c r="AA714" s="89">
        <v>45208.20652777778</v>
      </c>
      <c r="AB714" s="82"/>
      <c r="AC714" s="82"/>
      <c r="AD714" s="85" t="s">
        <v>2423</v>
      </c>
      <c r="AE714" s="84" t="str">
        <f>REPLACE(INDEX(GroupVertices[Group],MATCH("~"&amp;Edges[[#This Row],[Vertex 1]],GroupVertices[Vertex],0)),1,1,"")</f>
        <v>1</v>
      </c>
      <c r="AF714" s="84" t="str">
        <f>REPLACE(INDEX(GroupVertices[Group],MATCH("~"&amp;Edges[[#This Row],[Vertex 2]],GroupVertices[Vertex],0)),1,1,"")</f>
        <v>1</v>
      </c>
    </row>
    <row r="715" spans="1:32" ht="15">
      <c r="A715" s="66" t="s">
        <v>850</v>
      </c>
      <c r="B715" s="66" t="s">
        <v>907</v>
      </c>
      <c r="C715" s="67"/>
      <c r="D715" s="68"/>
      <c r="E715" s="69"/>
      <c r="F715" s="70"/>
      <c r="G715" s="67"/>
      <c r="H715" s="71"/>
      <c r="I715" s="72"/>
      <c r="J715" s="72"/>
      <c r="K715" s="35"/>
      <c r="L715" s="80">
        <v>715</v>
      </c>
      <c r="M715" s="80"/>
      <c r="N715" s="74"/>
      <c r="O715" s="82" t="s">
        <v>909</v>
      </c>
      <c r="P715" s="82" t="s">
        <v>197</v>
      </c>
      <c r="Q715" s="85" t="s">
        <v>1618</v>
      </c>
      <c r="R715" s="82" t="s">
        <v>850</v>
      </c>
      <c r="S715" s="82" t="s">
        <v>2316</v>
      </c>
      <c r="T715" s="87" t="str">
        <f>HYPERLINK("http://www.youtube.com/channel/UCV_03ocMayTM7MOw7O2JeNQ")</f>
        <v>http://www.youtube.com/channel/UCV_03ocMayTM7MOw7O2JeNQ</v>
      </c>
      <c r="U715" s="82"/>
      <c r="V715" s="82" t="s">
        <v>2375</v>
      </c>
      <c r="W715" s="87" t="str">
        <f t="shared" si="31"/>
        <v>https://www.youtube.com/watch?v=75c-kHKv0O4</v>
      </c>
      <c r="X715" s="82" t="s">
        <v>2384</v>
      </c>
      <c r="Y715" s="82">
        <v>0</v>
      </c>
      <c r="Z715" s="89">
        <v>45209.732777777775</v>
      </c>
      <c r="AA715" s="89">
        <v>45209.732777777775</v>
      </c>
      <c r="AB715" s="82"/>
      <c r="AC715" s="82"/>
      <c r="AD715" s="85" t="s">
        <v>2423</v>
      </c>
      <c r="AE715" s="84" t="str">
        <f>REPLACE(INDEX(GroupVertices[Group],MATCH("~"&amp;Edges[[#This Row],[Vertex 1]],GroupVertices[Vertex],0)),1,1,"")</f>
        <v>1</v>
      </c>
      <c r="AF715" s="84" t="str">
        <f>REPLACE(INDEX(GroupVertices[Group],MATCH("~"&amp;Edges[[#This Row],[Vertex 2]],GroupVertices[Vertex],0)),1,1,"")</f>
        <v>1</v>
      </c>
    </row>
    <row r="716" spans="1:32" ht="15">
      <c r="A716" s="66" t="s">
        <v>851</v>
      </c>
      <c r="B716" s="66" t="s">
        <v>907</v>
      </c>
      <c r="C716" s="67"/>
      <c r="D716" s="68"/>
      <c r="E716" s="69"/>
      <c r="F716" s="70"/>
      <c r="G716" s="67"/>
      <c r="H716" s="71"/>
      <c r="I716" s="72"/>
      <c r="J716" s="72"/>
      <c r="K716" s="35"/>
      <c r="L716" s="80">
        <v>716</v>
      </c>
      <c r="M716" s="80"/>
      <c r="N716" s="74"/>
      <c r="O716" s="82" t="s">
        <v>909</v>
      </c>
      <c r="P716" s="82" t="s">
        <v>197</v>
      </c>
      <c r="Q716" s="85" t="s">
        <v>1619</v>
      </c>
      <c r="R716" s="82" t="s">
        <v>851</v>
      </c>
      <c r="S716" s="82" t="s">
        <v>2317</v>
      </c>
      <c r="T716" s="87" t="str">
        <f>HYPERLINK("http://www.youtube.com/channel/UCK12UCIBiDYD4C548ZkO4kA")</f>
        <v>http://www.youtube.com/channel/UCK12UCIBiDYD4C548ZkO4kA</v>
      </c>
      <c r="U716" s="82"/>
      <c r="V716" s="82" t="s">
        <v>2375</v>
      </c>
      <c r="W716" s="87" t="str">
        <f t="shared" si="31"/>
        <v>https://www.youtube.com/watch?v=75c-kHKv0O4</v>
      </c>
      <c r="X716" s="82" t="s">
        <v>2384</v>
      </c>
      <c r="Y716" s="82">
        <v>0</v>
      </c>
      <c r="Z716" s="89">
        <v>45212.070706018516</v>
      </c>
      <c r="AA716" s="89">
        <v>45212.070706018516</v>
      </c>
      <c r="AB716" s="82"/>
      <c r="AC716" s="82"/>
      <c r="AD716" s="85" t="s">
        <v>2423</v>
      </c>
      <c r="AE716" s="84" t="str">
        <f>REPLACE(INDEX(GroupVertices[Group],MATCH("~"&amp;Edges[[#This Row],[Vertex 1]],GroupVertices[Vertex],0)),1,1,"")</f>
        <v>1</v>
      </c>
      <c r="AF716" s="84" t="str">
        <f>REPLACE(INDEX(GroupVertices[Group],MATCH("~"&amp;Edges[[#This Row],[Vertex 2]],GroupVertices[Vertex],0)),1,1,"")</f>
        <v>1</v>
      </c>
    </row>
    <row r="717" spans="1:32" ht="15">
      <c r="A717" s="66" t="s">
        <v>852</v>
      </c>
      <c r="B717" s="66" t="s">
        <v>907</v>
      </c>
      <c r="C717" s="67"/>
      <c r="D717" s="68"/>
      <c r="E717" s="69"/>
      <c r="F717" s="70"/>
      <c r="G717" s="67"/>
      <c r="H717" s="71"/>
      <c r="I717" s="72"/>
      <c r="J717" s="72"/>
      <c r="K717" s="35"/>
      <c r="L717" s="80">
        <v>717</v>
      </c>
      <c r="M717" s="80"/>
      <c r="N717" s="74"/>
      <c r="O717" s="82" t="s">
        <v>909</v>
      </c>
      <c r="P717" s="82" t="s">
        <v>197</v>
      </c>
      <c r="Q717" s="85" t="s">
        <v>1620</v>
      </c>
      <c r="R717" s="82" t="s">
        <v>852</v>
      </c>
      <c r="S717" s="82" t="s">
        <v>2318</v>
      </c>
      <c r="T717" s="87" t="str">
        <f>HYPERLINK("http://www.youtube.com/channel/UCewG0U9fH3RYp8wbfB-1RQw")</f>
        <v>http://www.youtube.com/channel/UCewG0U9fH3RYp8wbfB-1RQw</v>
      </c>
      <c r="U717" s="82"/>
      <c r="V717" s="82" t="s">
        <v>2375</v>
      </c>
      <c r="W717" s="87" t="str">
        <f t="shared" si="31"/>
        <v>https://www.youtube.com/watch?v=75c-kHKv0O4</v>
      </c>
      <c r="X717" s="82" t="s">
        <v>2384</v>
      </c>
      <c r="Y717" s="82">
        <v>0</v>
      </c>
      <c r="Z717" s="89">
        <v>45215.64953703704</v>
      </c>
      <c r="AA717" s="89">
        <v>45215.64953703704</v>
      </c>
      <c r="AB717" s="82"/>
      <c r="AC717" s="82"/>
      <c r="AD717" s="85" t="s">
        <v>2423</v>
      </c>
      <c r="AE717" s="84" t="str">
        <f>REPLACE(INDEX(GroupVertices[Group],MATCH("~"&amp;Edges[[#This Row],[Vertex 1]],GroupVertices[Vertex],0)),1,1,"")</f>
        <v>1</v>
      </c>
      <c r="AF717" s="84" t="str">
        <f>REPLACE(INDEX(GroupVertices[Group],MATCH("~"&amp;Edges[[#This Row],[Vertex 2]],GroupVertices[Vertex],0)),1,1,"")</f>
        <v>1</v>
      </c>
    </row>
    <row r="718" spans="1:32" ht="15">
      <c r="A718" s="66" t="s">
        <v>853</v>
      </c>
      <c r="B718" s="66" t="s">
        <v>907</v>
      </c>
      <c r="C718" s="67"/>
      <c r="D718" s="68"/>
      <c r="E718" s="69"/>
      <c r="F718" s="70"/>
      <c r="G718" s="67"/>
      <c r="H718" s="71"/>
      <c r="I718" s="72"/>
      <c r="J718" s="72"/>
      <c r="K718" s="35"/>
      <c r="L718" s="80">
        <v>718</v>
      </c>
      <c r="M718" s="80"/>
      <c r="N718" s="74"/>
      <c r="O718" s="82" t="s">
        <v>909</v>
      </c>
      <c r="P718" s="82" t="s">
        <v>197</v>
      </c>
      <c r="Q718" s="85" t="s">
        <v>1621</v>
      </c>
      <c r="R718" s="82" t="s">
        <v>853</v>
      </c>
      <c r="S718" s="82" t="s">
        <v>2319</v>
      </c>
      <c r="T718" s="87" t="str">
        <f>HYPERLINK("http://www.youtube.com/channel/UCV3fQadoPtfE3MXOWx-PtMw")</f>
        <v>http://www.youtube.com/channel/UCV3fQadoPtfE3MXOWx-PtMw</v>
      </c>
      <c r="U718" s="82"/>
      <c r="V718" s="82" t="s">
        <v>2375</v>
      </c>
      <c r="W718" s="87" t="str">
        <f t="shared" si="31"/>
        <v>https://www.youtube.com/watch?v=75c-kHKv0O4</v>
      </c>
      <c r="X718" s="82" t="s">
        <v>2384</v>
      </c>
      <c r="Y718" s="82">
        <v>0</v>
      </c>
      <c r="Z718" s="89">
        <v>45216.13075231481</v>
      </c>
      <c r="AA718" s="89">
        <v>45216.13075231481</v>
      </c>
      <c r="AB718" s="82"/>
      <c r="AC718" s="82"/>
      <c r="AD718" s="85" t="s">
        <v>2423</v>
      </c>
      <c r="AE718" s="84" t="str">
        <f>REPLACE(INDEX(GroupVertices[Group],MATCH("~"&amp;Edges[[#This Row],[Vertex 1]],GroupVertices[Vertex],0)),1,1,"")</f>
        <v>1</v>
      </c>
      <c r="AF718" s="84" t="str">
        <f>REPLACE(INDEX(GroupVertices[Group],MATCH("~"&amp;Edges[[#This Row],[Vertex 2]],GroupVertices[Vertex],0)),1,1,"")</f>
        <v>1</v>
      </c>
    </row>
    <row r="719" spans="1:32" ht="15">
      <c r="A719" s="66" t="s">
        <v>854</v>
      </c>
      <c r="B719" s="66" t="s">
        <v>907</v>
      </c>
      <c r="C719" s="67"/>
      <c r="D719" s="68"/>
      <c r="E719" s="69"/>
      <c r="F719" s="70"/>
      <c r="G719" s="67"/>
      <c r="H719" s="71"/>
      <c r="I719" s="72"/>
      <c r="J719" s="72"/>
      <c r="K719" s="35"/>
      <c r="L719" s="80">
        <v>719</v>
      </c>
      <c r="M719" s="80"/>
      <c r="N719" s="74"/>
      <c r="O719" s="82" t="s">
        <v>909</v>
      </c>
      <c r="P719" s="82" t="s">
        <v>197</v>
      </c>
      <c r="Q719" s="85" t="s">
        <v>1622</v>
      </c>
      <c r="R719" s="82" t="s">
        <v>854</v>
      </c>
      <c r="S719" s="82" t="s">
        <v>2320</v>
      </c>
      <c r="T719" s="87" t="str">
        <f>HYPERLINK("http://www.youtube.com/channel/UCfxxy62vAkQ4c4K3v8iI19g")</f>
        <v>http://www.youtube.com/channel/UCfxxy62vAkQ4c4K3v8iI19g</v>
      </c>
      <c r="U719" s="82"/>
      <c r="V719" s="82" t="s">
        <v>2375</v>
      </c>
      <c r="W719" s="87" t="str">
        <f t="shared" si="31"/>
        <v>https://www.youtube.com/watch?v=75c-kHKv0O4</v>
      </c>
      <c r="X719" s="82" t="s">
        <v>2384</v>
      </c>
      <c r="Y719" s="82">
        <v>1</v>
      </c>
      <c r="Z719" s="89">
        <v>45220.09826388889</v>
      </c>
      <c r="AA719" s="89">
        <v>45220.0984837963</v>
      </c>
      <c r="AB719" s="82"/>
      <c r="AC719" s="82"/>
      <c r="AD719" s="85" t="s">
        <v>2423</v>
      </c>
      <c r="AE719" s="84" t="str">
        <f>REPLACE(INDEX(GroupVertices[Group],MATCH("~"&amp;Edges[[#This Row],[Vertex 1]],GroupVertices[Vertex],0)),1,1,"")</f>
        <v>1</v>
      </c>
      <c r="AF719" s="84" t="str">
        <f>REPLACE(INDEX(GroupVertices[Group],MATCH("~"&amp;Edges[[#This Row],[Vertex 2]],GroupVertices[Vertex],0)),1,1,"")</f>
        <v>1</v>
      </c>
    </row>
    <row r="720" spans="1:32" ht="15">
      <c r="A720" s="66" t="s">
        <v>855</v>
      </c>
      <c r="B720" s="66" t="s">
        <v>907</v>
      </c>
      <c r="C720" s="67"/>
      <c r="D720" s="68"/>
      <c r="E720" s="69"/>
      <c r="F720" s="70"/>
      <c r="G720" s="67"/>
      <c r="H720" s="71"/>
      <c r="I720" s="72"/>
      <c r="J720" s="72"/>
      <c r="K720" s="35"/>
      <c r="L720" s="80">
        <v>720</v>
      </c>
      <c r="M720" s="80"/>
      <c r="N720" s="74"/>
      <c r="O720" s="82" t="s">
        <v>909</v>
      </c>
      <c r="P720" s="82" t="s">
        <v>197</v>
      </c>
      <c r="Q720" s="85" t="s">
        <v>1623</v>
      </c>
      <c r="R720" s="82" t="s">
        <v>855</v>
      </c>
      <c r="S720" s="82" t="s">
        <v>2321</v>
      </c>
      <c r="T720" s="87" t="str">
        <f>HYPERLINK("http://www.youtube.com/channel/UCPuvs9NGDH-1DVUa9KR2jUA")</f>
        <v>http://www.youtube.com/channel/UCPuvs9NGDH-1DVUa9KR2jUA</v>
      </c>
      <c r="U720" s="82"/>
      <c r="V720" s="82" t="s">
        <v>2375</v>
      </c>
      <c r="W720" s="87" t="str">
        <f t="shared" si="31"/>
        <v>https://www.youtube.com/watch?v=75c-kHKv0O4</v>
      </c>
      <c r="X720" s="82" t="s">
        <v>2384</v>
      </c>
      <c r="Y720" s="82">
        <v>0</v>
      </c>
      <c r="Z720" s="89">
        <v>45220.22615740741</v>
      </c>
      <c r="AA720" s="89">
        <v>45220.22615740741</v>
      </c>
      <c r="AB720" s="82"/>
      <c r="AC720" s="82"/>
      <c r="AD720" s="85" t="s">
        <v>2423</v>
      </c>
      <c r="AE720" s="84" t="str">
        <f>REPLACE(INDEX(GroupVertices[Group],MATCH("~"&amp;Edges[[#This Row],[Vertex 1]],GroupVertices[Vertex],0)),1,1,"")</f>
        <v>1</v>
      </c>
      <c r="AF720" s="84" t="str">
        <f>REPLACE(INDEX(GroupVertices[Group],MATCH("~"&amp;Edges[[#This Row],[Vertex 2]],GroupVertices[Vertex],0)),1,1,"")</f>
        <v>1</v>
      </c>
    </row>
    <row r="721" spans="1:32" ht="15">
      <c r="A721" s="66" t="s">
        <v>856</v>
      </c>
      <c r="B721" s="66" t="s">
        <v>907</v>
      </c>
      <c r="C721" s="67"/>
      <c r="D721" s="68"/>
      <c r="E721" s="69"/>
      <c r="F721" s="70"/>
      <c r="G721" s="67"/>
      <c r="H721" s="71"/>
      <c r="I721" s="72"/>
      <c r="J721" s="72"/>
      <c r="K721" s="35"/>
      <c r="L721" s="80">
        <v>721</v>
      </c>
      <c r="M721" s="80"/>
      <c r="N721" s="74"/>
      <c r="O721" s="82" t="s">
        <v>909</v>
      </c>
      <c r="P721" s="82" t="s">
        <v>197</v>
      </c>
      <c r="Q721" s="85" t="s">
        <v>1624</v>
      </c>
      <c r="R721" s="82" t="s">
        <v>856</v>
      </c>
      <c r="S721" s="82" t="s">
        <v>2322</v>
      </c>
      <c r="T721" s="87" t="str">
        <f>HYPERLINK("http://www.youtube.com/channel/UCDc09WaTE_hYAl69yyc1NUQ")</f>
        <v>http://www.youtube.com/channel/UCDc09WaTE_hYAl69yyc1NUQ</v>
      </c>
      <c r="U721" s="82"/>
      <c r="V721" s="82" t="s">
        <v>2375</v>
      </c>
      <c r="W721" s="87" t="str">
        <f t="shared" si="31"/>
        <v>https://www.youtube.com/watch?v=75c-kHKv0O4</v>
      </c>
      <c r="X721" s="82" t="s">
        <v>2384</v>
      </c>
      <c r="Y721" s="82">
        <v>1</v>
      </c>
      <c r="Z721" s="89">
        <v>45220.37053240741</v>
      </c>
      <c r="AA721" s="89">
        <v>45220.37053240741</v>
      </c>
      <c r="AB721" s="82"/>
      <c r="AC721" s="82"/>
      <c r="AD721" s="85" t="s">
        <v>2423</v>
      </c>
      <c r="AE721" s="84" t="str">
        <f>REPLACE(INDEX(GroupVertices[Group],MATCH("~"&amp;Edges[[#This Row],[Vertex 1]],GroupVertices[Vertex],0)),1,1,"")</f>
        <v>1</v>
      </c>
      <c r="AF721" s="84" t="str">
        <f>REPLACE(INDEX(GroupVertices[Group],MATCH("~"&amp;Edges[[#This Row],[Vertex 2]],GroupVertices[Vertex],0)),1,1,"")</f>
        <v>1</v>
      </c>
    </row>
    <row r="722" spans="1:32" ht="15">
      <c r="A722" s="66" t="s">
        <v>857</v>
      </c>
      <c r="B722" s="66" t="s">
        <v>907</v>
      </c>
      <c r="C722" s="67"/>
      <c r="D722" s="68"/>
      <c r="E722" s="69"/>
      <c r="F722" s="70"/>
      <c r="G722" s="67"/>
      <c r="H722" s="71"/>
      <c r="I722" s="72"/>
      <c r="J722" s="72"/>
      <c r="K722" s="35"/>
      <c r="L722" s="80">
        <v>722</v>
      </c>
      <c r="M722" s="80"/>
      <c r="N722" s="74"/>
      <c r="O722" s="82" t="s">
        <v>909</v>
      </c>
      <c r="P722" s="82" t="s">
        <v>197</v>
      </c>
      <c r="Q722" s="85" t="s">
        <v>1625</v>
      </c>
      <c r="R722" s="82" t="s">
        <v>857</v>
      </c>
      <c r="S722" s="82" t="s">
        <v>2323</v>
      </c>
      <c r="T722" s="87" t="str">
        <f>HYPERLINK("http://www.youtube.com/channel/UCfo4TCSwn-FkwT8lKsFRRDw")</f>
        <v>http://www.youtube.com/channel/UCfo4TCSwn-FkwT8lKsFRRDw</v>
      </c>
      <c r="U722" s="82"/>
      <c r="V722" s="82" t="s">
        <v>2375</v>
      </c>
      <c r="W722" s="87" t="str">
        <f t="shared" si="31"/>
        <v>https://www.youtube.com/watch?v=75c-kHKv0O4</v>
      </c>
      <c r="X722" s="82" t="s">
        <v>2384</v>
      </c>
      <c r="Y722" s="82">
        <v>0</v>
      </c>
      <c r="Z722" s="89">
        <v>45220.85925925926</v>
      </c>
      <c r="AA722" s="89">
        <v>45220.85925925926</v>
      </c>
      <c r="AB722" s="82"/>
      <c r="AC722" s="82"/>
      <c r="AD722" s="85" t="s">
        <v>2423</v>
      </c>
      <c r="AE722" s="84" t="str">
        <f>REPLACE(INDEX(GroupVertices[Group],MATCH("~"&amp;Edges[[#This Row],[Vertex 1]],GroupVertices[Vertex],0)),1,1,"")</f>
        <v>1</v>
      </c>
      <c r="AF722" s="84" t="str">
        <f>REPLACE(INDEX(GroupVertices[Group],MATCH("~"&amp;Edges[[#This Row],[Vertex 2]],GroupVertices[Vertex],0)),1,1,"")</f>
        <v>1</v>
      </c>
    </row>
    <row r="723" spans="1:32" ht="15">
      <c r="A723" s="66" t="s">
        <v>858</v>
      </c>
      <c r="B723" s="66" t="s">
        <v>907</v>
      </c>
      <c r="C723" s="67"/>
      <c r="D723" s="68"/>
      <c r="E723" s="69"/>
      <c r="F723" s="70"/>
      <c r="G723" s="67"/>
      <c r="H723" s="71"/>
      <c r="I723" s="72"/>
      <c r="J723" s="72"/>
      <c r="K723" s="35"/>
      <c r="L723" s="80">
        <v>723</v>
      </c>
      <c r="M723" s="80"/>
      <c r="N723" s="74"/>
      <c r="O723" s="82" t="s">
        <v>909</v>
      </c>
      <c r="P723" s="82" t="s">
        <v>197</v>
      </c>
      <c r="Q723" s="85" t="s">
        <v>1626</v>
      </c>
      <c r="R723" s="82" t="s">
        <v>858</v>
      </c>
      <c r="S723" s="82" t="s">
        <v>2324</v>
      </c>
      <c r="T723" s="87" t="str">
        <f>HYPERLINK("http://www.youtube.com/channel/UCSCluX-J1OJ5pfDuFj2dbCQ")</f>
        <v>http://www.youtube.com/channel/UCSCluX-J1OJ5pfDuFj2dbCQ</v>
      </c>
      <c r="U723" s="82"/>
      <c r="V723" s="82" t="s">
        <v>2375</v>
      </c>
      <c r="W723" s="87" t="str">
        <f t="shared" si="31"/>
        <v>https://www.youtube.com/watch?v=75c-kHKv0O4</v>
      </c>
      <c r="X723" s="82" t="s">
        <v>2384</v>
      </c>
      <c r="Y723" s="82">
        <v>0</v>
      </c>
      <c r="Z723" s="89">
        <v>45222.19630787037</v>
      </c>
      <c r="AA723" s="89">
        <v>45222.19630787037</v>
      </c>
      <c r="AB723" s="82"/>
      <c r="AC723" s="82"/>
      <c r="AD723" s="85" t="s">
        <v>2423</v>
      </c>
      <c r="AE723" s="84" t="str">
        <f>REPLACE(INDEX(GroupVertices[Group],MATCH("~"&amp;Edges[[#This Row],[Vertex 1]],GroupVertices[Vertex],0)),1,1,"")</f>
        <v>1</v>
      </c>
      <c r="AF723" s="84" t="str">
        <f>REPLACE(INDEX(GroupVertices[Group],MATCH("~"&amp;Edges[[#This Row],[Vertex 2]],GroupVertices[Vertex],0)),1,1,"")</f>
        <v>1</v>
      </c>
    </row>
    <row r="724" spans="1:32" ht="15">
      <c r="A724" s="66" t="s">
        <v>859</v>
      </c>
      <c r="B724" s="66" t="s">
        <v>907</v>
      </c>
      <c r="C724" s="67"/>
      <c r="D724" s="68"/>
      <c r="E724" s="69"/>
      <c r="F724" s="70"/>
      <c r="G724" s="67"/>
      <c r="H724" s="71"/>
      <c r="I724" s="72"/>
      <c r="J724" s="72"/>
      <c r="K724" s="35"/>
      <c r="L724" s="80">
        <v>724</v>
      </c>
      <c r="M724" s="80"/>
      <c r="N724" s="74"/>
      <c r="O724" s="82" t="s">
        <v>909</v>
      </c>
      <c r="P724" s="82" t="s">
        <v>197</v>
      </c>
      <c r="Q724" s="85" t="s">
        <v>1627</v>
      </c>
      <c r="R724" s="82" t="s">
        <v>859</v>
      </c>
      <c r="S724" s="82" t="s">
        <v>2325</v>
      </c>
      <c r="T724" s="87" t="str">
        <f>HYPERLINK("http://www.youtube.com/channel/UCiO6J252zil7xn5pQvZtR6Q")</f>
        <v>http://www.youtube.com/channel/UCiO6J252zil7xn5pQvZtR6Q</v>
      </c>
      <c r="U724" s="82"/>
      <c r="V724" s="82" t="s">
        <v>2375</v>
      </c>
      <c r="W724" s="87" t="str">
        <f t="shared" si="31"/>
        <v>https://www.youtube.com/watch?v=75c-kHKv0O4</v>
      </c>
      <c r="X724" s="82" t="s">
        <v>2384</v>
      </c>
      <c r="Y724" s="82">
        <v>0</v>
      </c>
      <c r="Z724" s="89">
        <v>45220.125497685185</v>
      </c>
      <c r="AA724" s="89">
        <v>45220.125497685185</v>
      </c>
      <c r="AB724" s="82"/>
      <c r="AC724" s="82"/>
      <c r="AD724" s="85" t="s">
        <v>2423</v>
      </c>
      <c r="AE724" s="84" t="str">
        <f>REPLACE(INDEX(GroupVertices[Group],MATCH("~"&amp;Edges[[#This Row],[Vertex 1]],GroupVertices[Vertex],0)),1,1,"")</f>
        <v>1</v>
      </c>
      <c r="AF724" s="84" t="str">
        <f>REPLACE(INDEX(GroupVertices[Group],MATCH("~"&amp;Edges[[#This Row],[Vertex 2]],GroupVertices[Vertex],0)),1,1,"")</f>
        <v>1</v>
      </c>
    </row>
    <row r="725" spans="1:32" ht="15">
      <c r="A725" s="66" t="s">
        <v>859</v>
      </c>
      <c r="B725" s="66" t="s">
        <v>907</v>
      </c>
      <c r="C725" s="67"/>
      <c r="D725" s="68"/>
      <c r="E725" s="69"/>
      <c r="F725" s="70"/>
      <c r="G725" s="67"/>
      <c r="H725" s="71"/>
      <c r="I725" s="72"/>
      <c r="J725" s="72"/>
      <c r="K725" s="35"/>
      <c r="L725" s="80">
        <v>725</v>
      </c>
      <c r="M725" s="80"/>
      <c r="N725" s="74"/>
      <c r="O725" s="82" t="s">
        <v>909</v>
      </c>
      <c r="P725" s="82" t="s">
        <v>197</v>
      </c>
      <c r="Q725" s="85" t="s">
        <v>1628</v>
      </c>
      <c r="R725" s="82" t="s">
        <v>859</v>
      </c>
      <c r="S725" s="82" t="s">
        <v>2325</v>
      </c>
      <c r="T725" s="87" t="str">
        <f>HYPERLINK("http://www.youtube.com/channel/UCiO6J252zil7xn5pQvZtR6Q")</f>
        <v>http://www.youtube.com/channel/UCiO6J252zil7xn5pQvZtR6Q</v>
      </c>
      <c r="U725" s="82"/>
      <c r="V725" s="82" t="s">
        <v>2375</v>
      </c>
      <c r="W725" s="87" t="str">
        <f t="shared" si="31"/>
        <v>https://www.youtube.com/watch?v=75c-kHKv0O4</v>
      </c>
      <c r="X725" s="82" t="s">
        <v>2384</v>
      </c>
      <c r="Y725" s="82">
        <v>0</v>
      </c>
      <c r="Z725" s="89">
        <v>45220.12577546296</v>
      </c>
      <c r="AA725" s="89">
        <v>45220.12577546296</v>
      </c>
      <c r="AB725" s="82"/>
      <c r="AC725" s="82"/>
      <c r="AD725" s="85" t="s">
        <v>2423</v>
      </c>
      <c r="AE725" s="84" t="str">
        <f>REPLACE(INDEX(GroupVertices[Group],MATCH("~"&amp;Edges[[#This Row],[Vertex 1]],GroupVertices[Vertex],0)),1,1,"")</f>
        <v>1</v>
      </c>
      <c r="AF725" s="84" t="str">
        <f>REPLACE(INDEX(GroupVertices[Group],MATCH("~"&amp;Edges[[#This Row],[Vertex 2]],GroupVertices[Vertex],0)),1,1,"")</f>
        <v>1</v>
      </c>
    </row>
    <row r="726" spans="1:32" ht="15">
      <c r="A726" s="66" t="s">
        <v>859</v>
      </c>
      <c r="B726" s="66" t="s">
        <v>907</v>
      </c>
      <c r="C726" s="67"/>
      <c r="D726" s="68"/>
      <c r="E726" s="69"/>
      <c r="F726" s="70"/>
      <c r="G726" s="67"/>
      <c r="H726" s="71"/>
      <c r="I726" s="72"/>
      <c r="J726" s="72"/>
      <c r="K726" s="35"/>
      <c r="L726" s="80">
        <v>726</v>
      </c>
      <c r="M726" s="80"/>
      <c r="N726" s="74"/>
      <c r="O726" s="82" t="s">
        <v>909</v>
      </c>
      <c r="P726" s="82" t="s">
        <v>197</v>
      </c>
      <c r="Q726" s="85" t="s">
        <v>1629</v>
      </c>
      <c r="R726" s="82" t="s">
        <v>859</v>
      </c>
      <c r="S726" s="82" t="s">
        <v>2325</v>
      </c>
      <c r="T726" s="87" t="str">
        <f>HYPERLINK("http://www.youtube.com/channel/UCiO6J252zil7xn5pQvZtR6Q")</f>
        <v>http://www.youtube.com/channel/UCiO6J252zil7xn5pQvZtR6Q</v>
      </c>
      <c r="U726" s="82"/>
      <c r="V726" s="82" t="s">
        <v>2375</v>
      </c>
      <c r="W726" s="87" t="str">
        <f t="shared" si="31"/>
        <v>https://www.youtube.com/watch?v=75c-kHKv0O4</v>
      </c>
      <c r="X726" s="82" t="s">
        <v>2384</v>
      </c>
      <c r="Y726" s="82">
        <v>0</v>
      </c>
      <c r="Z726" s="89">
        <v>45220.12594907408</v>
      </c>
      <c r="AA726" s="89">
        <v>45220.12594907408</v>
      </c>
      <c r="AB726" s="82"/>
      <c r="AC726" s="82"/>
      <c r="AD726" s="85" t="s">
        <v>2423</v>
      </c>
      <c r="AE726" s="84" t="str">
        <f>REPLACE(INDEX(GroupVertices[Group],MATCH("~"&amp;Edges[[#This Row],[Vertex 1]],GroupVertices[Vertex],0)),1,1,"")</f>
        <v>1</v>
      </c>
      <c r="AF726" s="84" t="str">
        <f>REPLACE(INDEX(GroupVertices[Group],MATCH("~"&amp;Edges[[#This Row],[Vertex 2]],GroupVertices[Vertex],0)),1,1,"")</f>
        <v>1</v>
      </c>
    </row>
    <row r="727" spans="1:32" ht="15">
      <c r="A727" s="66" t="s">
        <v>859</v>
      </c>
      <c r="B727" s="66" t="s">
        <v>907</v>
      </c>
      <c r="C727" s="67"/>
      <c r="D727" s="68"/>
      <c r="E727" s="69"/>
      <c r="F727" s="70"/>
      <c r="G727" s="67"/>
      <c r="H727" s="71"/>
      <c r="I727" s="72"/>
      <c r="J727" s="72"/>
      <c r="K727" s="35"/>
      <c r="L727" s="80">
        <v>727</v>
      </c>
      <c r="M727" s="80"/>
      <c r="N727" s="74"/>
      <c r="O727" s="82" t="s">
        <v>909</v>
      </c>
      <c r="P727" s="82" t="s">
        <v>197</v>
      </c>
      <c r="Q727" s="85" t="s">
        <v>1630</v>
      </c>
      <c r="R727" s="82" t="s">
        <v>859</v>
      </c>
      <c r="S727" s="82" t="s">
        <v>2325</v>
      </c>
      <c r="T727" s="87" t="str">
        <f>HYPERLINK("http://www.youtube.com/channel/UCiO6J252zil7xn5pQvZtR6Q")</f>
        <v>http://www.youtube.com/channel/UCiO6J252zil7xn5pQvZtR6Q</v>
      </c>
      <c r="U727" s="82"/>
      <c r="V727" s="82" t="s">
        <v>2375</v>
      </c>
      <c r="W727" s="87" t="str">
        <f t="shared" si="31"/>
        <v>https://www.youtube.com/watch?v=75c-kHKv0O4</v>
      </c>
      <c r="X727" s="82" t="s">
        <v>2384</v>
      </c>
      <c r="Y727" s="82">
        <v>0</v>
      </c>
      <c r="Z727" s="89">
        <v>45222.36608796296</v>
      </c>
      <c r="AA727" s="89">
        <v>45222.36608796296</v>
      </c>
      <c r="AB727" s="82"/>
      <c r="AC727" s="82"/>
      <c r="AD727" s="85" t="s">
        <v>2423</v>
      </c>
      <c r="AE727" s="84" t="str">
        <f>REPLACE(INDEX(GroupVertices[Group],MATCH("~"&amp;Edges[[#This Row],[Vertex 1]],GroupVertices[Vertex],0)),1,1,"")</f>
        <v>1</v>
      </c>
      <c r="AF727" s="84" t="str">
        <f>REPLACE(INDEX(GroupVertices[Group],MATCH("~"&amp;Edges[[#This Row],[Vertex 2]],GroupVertices[Vertex],0)),1,1,"")</f>
        <v>1</v>
      </c>
    </row>
    <row r="728" spans="1:32" ht="15">
      <c r="A728" s="66" t="s">
        <v>860</v>
      </c>
      <c r="B728" s="66" t="s">
        <v>907</v>
      </c>
      <c r="C728" s="67"/>
      <c r="D728" s="68"/>
      <c r="E728" s="69"/>
      <c r="F728" s="70"/>
      <c r="G728" s="67"/>
      <c r="H728" s="71"/>
      <c r="I728" s="72"/>
      <c r="J728" s="72"/>
      <c r="K728" s="35"/>
      <c r="L728" s="80">
        <v>728</v>
      </c>
      <c r="M728" s="80"/>
      <c r="N728" s="74"/>
      <c r="O728" s="82" t="s">
        <v>909</v>
      </c>
      <c r="P728" s="82" t="s">
        <v>197</v>
      </c>
      <c r="Q728" s="85" t="s">
        <v>1631</v>
      </c>
      <c r="R728" s="82" t="s">
        <v>860</v>
      </c>
      <c r="S728" s="82" t="s">
        <v>2326</v>
      </c>
      <c r="T728" s="87" t="str">
        <f>HYPERLINK("http://www.youtube.com/channel/UCydZ_vheV40jNQvCO5bninQ")</f>
        <v>http://www.youtube.com/channel/UCydZ_vheV40jNQvCO5bninQ</v>
      </c>
      <c r="U728" s="82"/>
      <c r="V728" s="82" t="s">
        <v>2375</v>
      </c>
      <c r="W728" s="87" t="str">
        <f t="shared" si="31"/>
        <v>https://www.youtube.com/watch?v=75c-kHKv0O4</v>
      </c>
      <c r="X728" s="82" t="s">
        <v>2384</v>
      </c>
      <c r="Y728" s="82">
        <v>0</v>
      </c>
      <c r="Z728" s="89">
        <v>45223.47641203704</v>
      </c>
      <c r="AA728" s="89">
        <v>45223.47641203704</v>
      </c>
      <c r="AB728" s="82"/>
      <c r="AC728" s="82"/>
      <c r="AD728" s="85" t="s">
        <v>2423</v>
      </c>
      <c r="AE728" s="84" t="str">
        <f>REPLACE(INDEX(GroupVertices[Group],MATCH("~"&amp;Edges[[#This Row],[Vertex 1]],GroupVertices[Vertex],0)),1,1,"")</f>
        <v>1</v>
      </c>
      <c r="AF728" s="84" t="str">
        <f>REPLACE(INDEX(GroupVertices[Group],MATCH("~"&amp;Edges[[#This Row],[Vertex 2]],GroupVertices[Vertex],0)),1,1,"")</f>
        <v>1</v>
      </c>
    </row>
    <row r="729" spans="1:32" ht="15">
      <c r="A729" s="66" t="s">
        <v>861</v>
      </c>
      <c r="B729" s="66" t="s">
        <v>907</v>
      </c>
      <c r="C729" s="67"/>
      <c r="D729" s="68"/>
      <c r="E729" s="69"/>
      <c r="F729" s="70"/>
      <c r="G729" s="67"/>
      <c r="H729" s="71"/>
      <c r="I729" s="72"/>
      <c r="J729" s="72"/>
      <c r="K729" s="35"/>
      <c r="L729" s="80">
        <v>729</v>
      </c>
      <c r="M729" s="80"/>
      <c r="N729" s="74"/>
      <c r="O729" s="82" t="s">
        <v>909</v>
      </c>
      <c r="P729" s="82" t="s">
        <v>197</v>
      </c>
      <c r="Q729" s="85" t="s">
        <v>1632</v>
      </c>
      <c r="R729" s="82" t="s">
        <v>861</v>
      </c>
      <c r="S729" s="82" t="s">
        <v>2327</v>
      </c>
      <c r="T729" s="87" t="str">
        <f>HYPERLINK("http://www.youtube.com/channel/UCt8YLD-H1HnHt7XV4KSFTTg")</f>
        <v>http://www.youtube.com/channel/UCt8YLD-H1HnHt7XV4KSFTTg</v>
      </c>
      <c r="U729" s="82"/>
      <c r="V729" s="82" t="s">
        <v>2375</v>
      </c>
      <c r="W729" s="87" t="str">
        <f t="shared" si="31"/>
        <v>https://www.youtube.com/watch?v=75c-kHKv0O4</v>
      </c>
      <c r="X729" s="82" t="s">
        <v>2384</v>
      </c>
      <c r="Y729" s="82">
        <v>0</v>
      </c>
      <c r="Z729" s="89">
        <v>45224.398194444446</v>
      </c>
      <c r="AA729" s="89">
        <v>45224.398194444446</v>
      </c>
      <c r="AB729" s="82"/>
      <c r="AC729" s="82"/>
      <c r="AD729" s="85" t="s">
        <v>2423</v>
      </c>
      <c r="AE729" s="84" t="str">
        <f>REPLACE(INDEX(GroupVertices[Group],MATCH("~"&amp;Edges[[#This Row],[Vertex 1]],GroupVertices[Vertex],0)),1,1,"")</f>
        <v>1</v>
      </c>
      <c r="AF729" s="84" t="str">
        <f>REPLACE(INDEX(GroupVertices[Group],MATCH("~"&amp;Edges[[#This Row],[Vertex 2]],GroupVertices[Vertex],0)),1,1,"")</f>
        <v>1</v>
      </c>
    </row>
    <row r="730" spans="1:32" ht="15">
      <c r="A730" s="66" t="s">
        <v>862</v>
      </c>
      <c r="B730" s="66" t="s">
        <v>907</v>
      </c>
      <c r="C730" s="67"/>
      <c r="D730" s="68"/>
      <c r="E730" s="69"/>
      <c r="F730" s="70"/>
      <c r="G730" s="67"/>
      <c r="H730" s="71"/>
      <c r="I730" s="72"/>
      <c r="J730" s="72"/>
      <c r="K730" s="35"/>
      <c r="L730" s="80">
        <v>730</v>
      </c>
      <c r="M730" s="80"/>
      <c r="N730" s="74"/>
      <c r="O730" s="82" t="s">
        <v>909</v>
      </c>
      <c r="P730" s="82" t="s">
        <v>197</v>
      </c>
      <c r="Q730" s="85" t="s">
        <v>1633</v>
      </c>
      <c r="R730" s="82" t="s">
        <v>862</v>
      </c>
      <c r="S730" s="82" t="s">
        <v>2328</v>
      </c>
      <c r="T730" s="87" t="str">
        <f>HYPERLINK("http://www.youtube.com/channel/UCT6zkhfmyMOyPyKmEaul9CQ")</f>
        <v>http://www.youtube.com/channel/UCT6zkhfmyMOyPyKmEaul9CQ</v>
      </c>
      <c r="U730" s="82"/>
      <c r="V730" s="82" t="s">
        <v>2375</v>
      </c>
      <c r="W730" s="87" t="str">
        <f t="shared" si="31"/>
        <v>https://www.youtube.com/watch?v=75c-kHKv0O4</v>
      </c>
      <c r="X730" s="82" t="s">
        <v>2384</v>
      </c>
      <c r="Y730" s="82">
        <v>1</v>
      </c>
      <c r="Z730" s="89">
        <v>45225.29056712963</v>
      </c>
      <c r="AA730" s="89">
        <v>45225.29056712963</v>
      </c>
      <c r="AB730" s="82"/>
      <c r="AC730" s="82"/>
      <c r="AD730" s="85" t="s">
        <v>2423</v>
      </c>
      <c r="AE730" s="84" t="str">
        <f>REPLACE(INDEX(GroupVertices[Group],MATCH("~"&amp;Edges[[#This Row],[Vertex 1]],GroupVertices[Vertex],0)),1,1,"")</f>
        <v>1</v>
      </c>
      <c r="AF730" s="84" t="str">
        <f>REPLACE(INDEX(GroupVertices[Group],MATCH("~"&amp;Edges[[#This Row],[Vertex 2]],GroupVertices[Vertex],0)),1,1,"")</f>
        <v>1</v>
      </c>
    </row>
    <row r="731" spans="1:32" ht="15">
      <c r="A731" s="66" t="s">
        <v>863</v>
      </c>
      <c r="B731" s="66" t="s">
        <v>907</v>
      </c>
      <c r="C731" s="67"/>
      <c r="D731" s="68"/>
      <c r="E731" s="69"/>
      <c r="F731" s="70"/>
      <c r="G731" s="67"/>
      <c r="H731" s="71"/>
      <c r="I731" s="72"/>
      <c r="J731" s="72"/>
      <c r="K731" s="35"/>
      <c r="L731" s="80">
        <v>731</v>
      </c>
      <c r="M731" s="80"/>
      <c r="N731" s="74"/>
      <c r="O731" s="82" t="s">
        <v>909</v>
      </c>
      <c r="P731" s="82" t="s">
        <v>197</v>
      </c>
      <c r="Q731" s="85" t="s">
        <v>1634</v>
      </c>
      <c r="R731" s="82" t="s">
        <v>863</v>
      </c>
      <c r="S731" s="82" t="s">
        <v>2329</v>
      </c>
      <c r="T731" s="87" t="str">
        <f>HYPERLINK("http://www.youtube.com/channel/UCGZqx4Afuf5c5MocCJ_QSsQ")</f>
        <v>http://www.youtube.com/channel/UCGZqx4Afuf5c5MocCJ_QSsQ</v>
      </c>
      <c r="U731" s="82"/>
      <c r="V731" s="82" t="s">
        <v>2375</v>
      </c>
      <c r="W731" s="87" t="str">
        <f t="shared" si="31"/>
        <v>https://www.youtube.com/watch?v=75c-kHKv0O4</v>
      </c>
      <c r="X731" s="82" t="s">
        <v>2384</v>
      </c>
      <c r="Y731" s="82">
        <v>0</v>
      </c>
      <c r="Z731" s="89">
        <v>45225.42332175926</v>
      </c>
      <c r="AA731" s="89">
        <v>45225.42332175926</v>
      </c>
      <c r="AB731" s="82"/>
      <c r="AC731" s="82"/>
      <c r="AD731" s="85" t="s">
        <v>2423</v>
      </c>
      <c r="AE731" s="84" t="str">
        <f>REPLACE(INDEX(GroupVertices[Group],MATCH("~"&amp;Edges[[#This Row],[Vertex 1]],GroupVertices[Vertex],0)),1,1,"")</f>
        <v>1</v>
      </c>
      <c r="AF731" s="84" t="str">
        <f>REPLACE(INDEX(GroupVertices[Group],MATCH("~"&amp;Edges[[#This Row],[Vertex 2]],GroupVertices[Vertex],0)),1,1,"")</f>
        <v>1</v>
      </c>
    </row>
    <row r="732" spans="1:32" ht="15">
      <c r="A732" s="66" t="s">
        <v>864</v>
      </c>
      <c r="B732" s="66" t="s">
        <v>907</v>
      </c>
      <c r="C732" s="67"/>
      <c r="D732" s="68"/>
      <c r="E732" s="69"/>
      <c r="F732" s="70"/>
      <c r="G732" s="67"/>
      <c r="H732" s="71"/>
      <c r="I732" s="72"/>
      <c r="J732" s="72"/>
      <c r="K732" s="35"/>
      <c r="L732" s="80">
        <v>732</v>
      </c>
      <c r="M732" s="80"/>
      <c r="N732" s="74"/>
      <c r="O732" s="82" t="s">
        <v>909</v>
      </c>
      <c r="P732" s="82" t="s">
        <v>197</v>
      </c>
      <c r="Q732" s="85" t="s">
        <v>1635</v>
      </c>
      <c r="R732" s="82" t="s">
        <v>864</v>
      </c>
      <c r="S732" s="82" t="s">
        <v>2330</v>
      </c>
      <c r="T732" s="87" t="str">
        <f>HYPERLINK("http://www.youtube.com/channel/UCD7eQf0ZWr0mfvtV0jU3dbw")</f>
        <v>http://www.youtube.com/channel/UCD7eQf0ZWr0mfvtV0jU3dbw</v>
      </c>
      <c r="U732" s="82"/>
      <c r="V732" s="82" t="s">
        <v>2375</v>
      </c>
      <c r="W732" s="87" t="str">
        <f t="shared" si="31"/>
        <v>https://www.youtube.com/watch?v=75c-kHKv0O4</v>
      </c>
      <c r="X732" s="82" t="s">
        <v>2384</v>
      </c>
      <c r="Y732" s="82">
        <v>0</v>
      </c>
      <c r="Z732" s="89">
        <v>45225.80290509259</v>
      </c>
      <c r="AA732" s="89">
        <v>45225.80290509259</v>
      </c>
      <c r="AB732" s="82" t="s">
        <v>2412</v>
      </c>
      <c r="AC732" s="82" t="s">
        <v>2414</v>
      </c>
      <c r="AD732" s="85" t="s">
        <v>2423</v>
      </c>
      <c r="AE732" s="84" t="str">
        <f>REPLACE(INDEX(GroupVertices[Group],MATCH("~"&amp;Edges[[#This Row],[Vertex 1]],GroupVertices[Vertex],0)),1,1,"")</f>
        <v>1</v>
      </c>
      <c r="AF732" s="84" t="str">
        <f>REPLACE(INDEX(GroupVertices[Group],MATCH("~"&amp;Edges[[#This Row],[Vertex 2]],GroupVertices[Vertex],0)),1,1,"")</f>
        <v>1</v>
      </c>
    </row>
    <row r="733" spans="1:32" ht="15">
      <c r="A733" s="66" t="s">
        <v>865</v>
      </c>
      <c r="B733" s="66" t="s">
        <v>907</v>
      </c>
      <c r="C733" s="67"/>
      <c r="D733" s="68"/>
      <c r="E733" s="69"/>
      <c r="F733" s="70"/>
      <c r="G733" s="67"/>
      <c r="H733" s="71"/>
      <c r="I733" s="72"/>
      <c r="J733" s="72"/>
      <c r="K733" s="35"/>
      <c r="L733" s="80">
        <v>733</v>
      </c>
      <c r="M733" s="80"/>
      <c r="N733" s="74"/>
      <c r="O733" s="82" t="s">
        <v>909</v>
      </c>
      <c r="P733" s="82" t="s">
        <v>197</v>
      </c>
      <c r="Q733" s="85" t="s">
        <v>1636</v>
      </c>
      <c r="R733" s="82" t="s">
        <v>865</v>
      </c>
      <c r="S733" s="82" t="s">
        <v>2331</v>
      </c>
      <c r="T733" s="87" t="str">
        <f>HYPERLINK("http://www.youtube.com/channel/UC6_v2lL0QHSxS3xzV0wNFpw")</f>
        <v>http://www.youtube.com/channel/UC6_v2lL0QHSxS3xzV0wNFpw</v>
      </c>
      <c r="U733" s="82"/>
      <c r="V733" s="82" t="s">
        <v>2375</v>
      </c>
      <c r="W733" s="87" t="str">
        <f t="shared" si="31"/>
        <v>https://www.youtube.com/watch?v=75c-kHKv0O4</v>
      </c>
      <c r="X733" s="82" t="s">
        <v>2384</v>
      </c>
      <c r="Y733" s="82">
        <v>0</v>
      </c>
      <c r="Z733" s="89">
        <v>45226.80328703704</v>
      </c>
      <c r="AA733" s="89">
        <v>45226.80328703704</v>
      </c>
      <c r="AB733" s="82"/>
      <c r="AC733" s="82"/>
      <c r="AD733" s="85" t="s">
        <v>2423</v>
      </c>
      <c r="AE733" s="84" t="str">
        <f>REPLACE(INDEX(GroupVertices[Group],MATCH("~"&amp;Edges[[#This Row],[Vertex 1]],GroupVertices[Vertex],0)),1,1,"")</f>
        <v>1</v>
      </c>
      <c r="AF733" s="84" t="str">
        <f>REPLACE(INDEX(GroupVertices[Group],MATCH("~"&amp;Edges[[#This Row],[Vertex 2]],GroupVertices[Vertex],0)),1,1,"")</f>
        <v>1</v>
      </c>
    </row>
    <row r="734" spans="1:32" ht="15">
      <c r="A734" s="66" t="s">
        <v>866</v>
      </c>
      <c r="B734" s="66" t="s">
        <v>907</v>
      </c>
      <c r="C734" s="67"/>
      <c r="D734" s="68"/>
      <c r="E734" s="69"/>
      <c r="F734" s="70"/>
      <c r="G734" s="67"/>
      <c r="H734" s="71"/>
      <c r="I734" s="72"/>
      <c r="J734" s="72"/>
      <c r="K734" s="35"/>
      <c r="L734" s="80">
        <v>734</v>
      </c>
      <c r="M734" s="80"/>
      <c r="N734" s="74"/>
      <c r="O734" s="82" t="s">
        <v>909</v>
      </c>
      <c r="P734" s="82" t="s">
        <v>197</v>
      </c>
      <c r="Q734" s="85" t="s">
        <v>1637</v>
      </c>
      <c r="R734" s="82" t="s">
        <v>866</v>
      </c>
      <c r="S734" s="82" t="s">
        <v>2332</v>
      </c>
      <c r="T734" s="87" t="str">
        <f>HYPERLINK("http://www.youtube.com/channel/UCGSIjnJraNXN6esEIMFzohw")</f>
        <v>http://www.youtube.com/channel/UCGSIjnJraNXN6esEIMFzohw</v>
      </c>
      <c r="U734" s="82"/>
      <c r="V734" s="82" t="s">
        <v>2375</v>
      </c>
      <c r="W734" s="87" t="str">
        <f t="shared" si="31"/>
        <v>https://www.youtube.com/watch?v=75c-kHKv0O4</v>
      </c>
      <c r="X734" s="82" t="s">
        <v>2384</v>
      </c>
      <c r="Y734" s="82">
        <v>0</v>
      </c>
      <c r="Z734" s="89">
        <v>45227.382361111115</v>
      </c>
      <c r="AA734" s="89">
        <v>45227.382361111115</v>
      </c>
      <c r="AB734" s="82"/>
      <c r="AC734" s="82"/>
      <c r="AD734" s="85" t="s">
        <v>2423</v>
      </c>
      <c r="AE734" s="84" t="str">
        <f>REPLACE(INDEX(GroupVertices[Group],MATCH("~"&amp;Edges[[#This Row],[Vertex 1]],GroupVertices[Vertex],0)),1,1,"")</f>
        <v>1</v>
      </c>
      <c r="AF734" s="84" t="str">
        <f>REPLACE(INDEX(GroupVertices[Group],MATCH("~"&amp;Edges[[#This Row],[Vertex 2]],GroupVertices[Vertex],0)),1,1,"")</f>
        <v>1</v>
      </c>
    </row>
    <row r="735" spans="1:32" ht="15">
      <c r="A735" s="66" t="s">
        <v>867</v>
      </c>
      <c r="B735" s="66" t="s">
        <v>907</v>
      </c>
      <c r="C735" s="67"/>
      <c r="D735" s="68"/>
      <c r="E735" s="69"/>
      <c r="F735" s="70"/>
      <c r="G735" s="67"/>
      <c r="H735" s="71"/>
      <c r="I735" s="72"/>
      <c r="J735" s="72"/>
      <c r="K735" s="35"/>
      <c r="L735" s="80">
        <v>735</v>
      </c>
      <c r="M735" s="80"/>
      <c r="N735" s="74"/>
      <c r="O735" s="82" t="s">
        <v>909</v>
      </c>
      <c r="P735" s="82" t="s">
        <v>197</v>
      </c>
      <c r="Q735" s="85" t="s">
        <v>1638</v>
      </c>
      <c r="R735" s="82" t="s">
        <v>867</v>
      </c>
      <c r="S735" s="82" t="s">
        <v>2333</v>
      </c>
      <c r="T735" s="87" t="str">
        <f>HYPERLINK("http://www.youtube.com/channel/UC8ZV9ZPtlFUkrMPlKrXDKMQ")</f>
        <v>http://www.youtube.com/channel/UC8ZV9ZPtlFUkrMPlKrXDKMQ</v>
      </c>
      <c r="U735" s="82"/>
      <c r="V735" s="82" t="s">
        <v>2370</v>
      </c>
      <c r="W735" s="87" t="str">
        <f>HYPERLINK("https://www.youtube.com/watch?v=yBF2fGUO5cQ")</f>
        <v>https://www.youtube.com/watch?v=yBF2fGUO5cQ</v>
      </c>
      <c r="X735" s="82" t="s">
        <v>2384</v>
      </c>
      <c r="Y735" s="82">
        <v>1</v>
      </c>
      <c r="Z735" s="89">
        <v>45288.292233796295</v>
      </c>
      <c r="AA735" s="89">
        <v>45288.292233796295</v>
      </c>
      <c r="AB735" s="82"/>
      <c r="AC735" s="82"/>
      <c r="AD735" s="85" t="s">
        <v>2423</v>
      </c>
      <c r="AE735" s="84" t="str">
        <f>REPLACE(INDEX(GroupVertices[Group],MATCH("~"&amp;Edges[[#This Row],[Vertex 1]],GroupVertices[Vertex],0)),1,1,"")</f>
        <v>1</v>
      </c>
      <c r="AF735" s="84" t="str">
        <f>REPLACE(INDEX(GroupVertices[Group],MATCH("~"&amp;Edges[[#This Row],[Vertex 2]],GroupVertices[Vertex],0)),1,1,"")</f>
        <v>1</v>
      </c>
    </row>
    <row r="736" spans="1:32" ht="15">
      <c r="A736" s="66" t="s">
        <v>867</v>
      </c>
      <c r="B736" s="66" t="s">
        <v>907</v>
      </c>
      <c r="C736" s="67"/>
      <c r="D736" s="68"/>
      <c r="E736" s="69"/>
      <c r="F736" s="70"/>
      <c r="G736" s="67"/>
      <c r="H736" s="71"/>
      <c r="I736" s="72"/>
      <c r="J736" s="72"/>
      <c r="K736" s="35"/>
      <c r="L736" s="80">
        <v>736</v>
      </c>
      <c r="M736" s="80"/>
      <c r="N736" s="74"/>
      <c r="O736" s="82" t="s">
        <v>909</v>
      </c>
      <c r="P736" s="82" t="s">
        <v>197</v>
      </c>
      <c r="Q736" s="85" t="s">
        <v>1639</v>
      </c>
      <c r="R736" s="82" t="s">
        <v>867</v>
      </c>
      <c r="S736" s="82" t="s">
        <v>2333</v>
      </c>
      <c r="T736" s="87" t="str">
        <f>HYPERLINK("http://www.youtube.com/channel/UC8ZV9ZPtlFUkrMPlKrXDKMQ")</f>
        <v>http://www.youtube.com/channel/UC8ZV9ZPtlFUkrMPlKrXDKMQ</v>
      </c>
      <c r="U736" s="82"/>
      <c r="V736" s="82" t="s">
        <v>2375</v>
      </c>
      <c r="W736" s="87" t="str">
        <f aca="true" t="shared" si="32" ref="W736:W748">HYPERLINK("https://www.youtube.com/watch?v=75c-kHKv0O4")</f>
        <v>https://www.youtube.com/watch?v=75c-kHKv0O4</v>
      </c>
      <c r="X736" s="82" t="s">
        <v>2384</v>
      </c>
      <c r="Y736" s="82">
        <v>0</v>
      </c>
      <c r="Z736" s="89">
        <v>45228.05673611111</v>
      </c>
      <c r="AA736" s="89">
        <v>45228.05673611111</v>
      </c>
      <c r="AB736" s="82"/>
      <c r="AC736" s="82"/>
      <c r="AD736" s="85" t="s">
        <v>2423</v>
      </c>
      <c r="AE736" s="84" t="str">
        <f>REPLACE(INDEX(GroupVertices[Group],MATCH("~"&amp;Edges[[#This Row],[Vertex 1]],GroupVertices[Vertex],0)),1,1,"")</f>
        <v>1</v>
      </c>
      <c r="AF736" s="84" t="str">
        <f>REPLACE(INDEX(GroupVertices[Group],MATCH("~"&amp;Edges[[#This Row],[Vertex 2]],GroupVertices[Vertex],0)),1,1,"")</f>
        <v>1</v>
      </c>
    </row>
    <row r="737" spans="1:32" ht="15">
      <c r="A737" s="66" t="s">
        <v>868</v>
      </c>
      <c r="B737" s="66" t="s">
        <v>907</v>
      </c>
      <c r="C737" s="67"/>
      <c r="D737" s="68"/>
      <c r="E737" s="69"/>
      <c r="F737" s="70"/>
      <c r="G737" s="67"/>
      <c r="H737" s="71"/>
      <c r="I737" s="72"/>
      <c r="J737" s="72"/>
      <c r="K737" s="35"/>
      <c r="L737" s="80">
        <v>737</v>
      </c>
      <c r="M737" s="80"/>
      <c r="N737" s="74"/>
      <c r="O737" s="82" t="s">
        <v>909</v>
      </c>
      <c r="P737" s="82" t="s">
        <v>197</v>
      </c>
      <c r="Q737" s="85" t="s">
        <v>1640</v>
      </c>
      <c r="R737" s="82" t="s">
        <v>868</v>
      </c>
      <c r="S737" s="82" t="s">
        <v>2334</v>
      </c>
      <c r="T737" s="87" t="str">
        <f>HYPERLINK("http://www.youtube.com/channel/UCLEc91XqgQBkaF0zlOeftWw")</f>
        <v>http://www.youtube.com/channel/UCLEc91XqgQBkaF0zlOeftWw</v>
      </c>
      <c r="U737" s="82"/>
      <c r="V737" s="82" t="s">
        <v>2375</v>
      </c>
      <c r="W737" s="87" t="str">
        <f t="shared" si="32"/>
        <v>https://www.youtube.com/watch?v=75c-kHKv0O4</v>
      </c>
      <c r="X737" s="82" t="s">
        <v>2384</v>
      </c>
      <c r="Y737" s="82">
        <v>0</v>
      </c>
      <c r="Z737" s="89">
        <v>45229.08472222222</v>
      </c>
      <c r="AA737" s="89">
        <v>45229.08472222222</v>
      </c>
      <c r="AB737" s="82"/>
      <c r="AC737" s="82"/>
      <c r="AD737" s="85" t="s">
        <v>2423</v>
      </c>
      <c r="AE737" s="84" t="str">
        <f>REPLACE(INDEX(GroupVertices[Group],MATCH("~"&amp;Edges[[#This Row],[Vertex 1]],GroupVertices[Vertex],0)),1,1,"")</f>
        <v>1</v>
      </c>
      <c r="AF737" s="84" t="str">
        <f>REPLACE(INDEX(GroupVertices[Group],MATCH("~"&amp;Edges[[#This Row],[Vertex 2]],GroupVertices[Vertex],0)),1,1,"")</f>
        <v>1</v>
      </c>
    </row>
    <row r="738" spans="1:32" ht="15">
      <c r="A738" s="66" t="s">
        <v>869</v>
      </c>
      <c r="B738" s="66" t="s">
        <v>907</v>
      </c>
      <c r="C738" s="67"/>
      <c r="D738" s="68"/>
      <c r="E738" s="69"/>
      <c r="F738" s="70"/>
      <c r="G738" s="67"/>
      <c r="H738" s="71"/>
      <c r="I738" s="72"/>
      <c r="J738" s="72"/>
      <c r="K738" s="35"/>
      <c r="L738" s="80">
        <v>738</v>
      </c>
      <c r="M738" s="80"/>
      <c r="N738" s="74"/>
      <c r="O738" s="82" t="s">
        <v>909</v>
      </c>
      <c r="P738" s="82" t="s">
        <v>197</v>
      </c>
      <c r="Q738" s="85" t="s">
        <v>1641</v>
      </c>
      <c r="R738" s="82" t="s">
        <v>869</v>
      </c>
      <c r="S738" s="82" t="s">
        <v>2335</v>
      </c>
      <c r="T738" s="87" t="str">
        <f>HYPERLINK("http://www.youtube.com/channel/UC_EJrSubx5M0_ZFIZSEkIyA")</f>
        <v>http://www.youtube.com/channel/UC_EJrSubx5M0_ZFIZSEkIyA</v>
      </c>
      <c r="U738" s="82"/>
      <c r="V738" s="82" t="s">
        <v>2375</v>
      </c>
      <c r="W738" s="87" t="str">
        <f t="shared" si="32"/>
        <v>https://www.youtube.com/watch?v=75c-kHKv0O4</v>
      </c>
      <c r="X738" s="82" t="s">
        <v>2384</v>
      </c>
      <c r="Y738" s="82">
        <v>0</v>
      </c>
      <c r="Z738" s="89">
        <v>45229.81054398148</v>
      </c>
      <c r="AA738" s="89">
        <v>45229.81054398148</v>
      </c>
      <c r="AB738" s="82"/>
      <c r="AC738" s="82"/>
      <c r="AD738" s="85" t="s">
        <v>2423</v>
      </c>
      <c r="AE738" s="84" t="str">
        <f>REPLACE(INDEX(GroupVertices[Group],MATCH("~"&amp;Edges[[#This Row],[Vertex 1]],GroupVertices[Vertex],0)),1,1,"")</f>
        <v>1</v>
      </c>
      <c r="AF738" s="84" t="str">
        <f>REPLACE(INDEX(GroupVertices[Group],MATCH("~"&amp;Edges[[#This Row],[Vertex 2]],GroupVertices[Vertex],0)),1,1,"")</f>
        <v>1</v>
      </c>
    </row>
    <row r="739" spans="1:32" ht="15">
      <c r="A739" s="66" t="s">
        <v>870</v>
      </c>
      <c r="B739" s="66" t="s">
        <v>907</v>
      </c>
      <c r="C739" s="67"/>
      <c r="D739" s="68"/>
      <c r="E739" s="69"/>
      <c r="F739" s="70"/>
      <c r="G739" s="67"/>
      <c r="H739" s="71"/>
      <c r="I739" s="72"/>
      <c r="J739" s="72"/>
      <c r="K739" s="35"/>
      <c r="L739" s="80">
        <v>739</v>
      </c>
      <c r="M739" s="80"/>
      <c r="N739" s="74"/>
      <c r="O739" s="82" t="s">
        <v>909</v>
      </c>
      <c r="P739" s="82" t="s">
        <v>197</v>
      </c>
      <c r="Q739" s="85" t="s">
        <v>1642</v>
      </c>
      <c r="R739" s="82" t="s">
        <v>870</v>
      </c>
      <c r="S739" s="82" t="s">
        <v>2336</v>
      </c>
      <c r="T739" s="87" t="str">
        <f>HYPERLINK("http://www.youtube.com/channel/UCOt-kSsTsVCg6SosMqHBZCg")</f>
        <v>http://www.youtube.com/channel/UCOt-kSsTsVCg6SosMqHBZCg</v>
      </c>
      <c r="U739" s="82"/>
      <c r="V739" s="82" t="s">
        <v>2375</v>
      </c>
      <c r="W739" s="87" t="str">
        <f t="shared" si="32"/>
        <v>https://www.youtube.com/watch?v=75c-kHKv0O4</v>
      </c>
      <c r="X739" s="82" t="s">
        <v>2384</v>
      </c>
      <c r="Y739" s="82">
        <v>0</v>
      </c>
      <c r="Z739" s="89">
        <v>45230.411041666666</v>
      </c>
      <c r="AA739" s="89">
        <v>45230.41136574074</v>
      </c>
      <c r="AB739" s="82"/>
      <c r="AC739" s="82"/>
      <c r="AD739" s="85" t="s">
        <v>2423</v>
      </c>
      <c r="AE739" s="84" t="str">
        <f>REPLACE(INDEX(GroupVertices[Group],MATCH("~"&amp;Edges[[#This Row],[Vertex 1]],GroupVertices[Vertex],0)),1,1,"")</f>
        <v>1</v>
      </c>
      <c r="AF739" s="84" t="str">
        <f>REPLACE(INDEX(GroupVertices[Group],MATCH("~"&amp;Edges[[#This Row],[Vertex 2]],GroupVertices[Vertex],0)),1,1,"")</f>
        <v>1</v>
      </c>
    </row>
    <row r="740" spans="1:32" ht="15">
      <c r="A740" s="66" t="s">
        <v>871</v>
      </c>
      <c r="B740" s="66" t="s">
        <v>907</v>
      </c>
      <c r="C740" s="67"/>
      <c r="D740" s="68"/>
      <c r="E740" s="69"/>
      <c r="F740" s="70"/>
      <c r="G740" s="67"/>
      <c r="H740" s="71"/>
      <c r="I740" s="72"/>
      <c r="J740" s="72"/>
      <c r="K740" s="35"/>
      <c r="L740" s="80">
        <v>740</v>
      </c>
      <c r="M740" s="80"/>
      <c r="N740" s="74"/>
      <c r="O740" s="82" t="s">
        <v>909</v>
      </c>
      <c r="P740" s="82" t="s">
        <v>197</v>
      </c>
      <c r="Q740" s="85" t="s">
        <v>1643</v>
      </c>
      <c r="R740" s="82" t="s">
        <v>871</v>
      </c>
      <c r="S740" s="82" t="s">
        <v>2337</v>
      </c>
      <c r="T740" s="87" t="str">
        <f>HYPERLINK("http://www.youtube.com/channel/UCUIxv52akISxK96nU5IWBjw")</f>
        <v>http://www.youtube.com/channel/UCUIxv52akISxK96nU5IWBjw</v>
      </c>
      <c r="U740" s="82"/>
      <c r="V740" s="82" t="s">
        <v>2375</v>
      </c>
      <c r="W740" s="87" t="str">
        <f t="shared" si="32"/>
        <v>https://www.youtube.com/watch?v=75c-kHKv0O4</v>
      </c>
      <c r="X740" s="82" t="s">
        <v>2384</v>
      </c>
      <c r="Y740" s="82">
        <v>0</v>
      </c>
      <c r="Z740" s="89">
        <v>45231.43612268518</v>
      </c>
      <c r="AA740" s="89">
        <v>45231.43612268518</v>
      </c>
      <c r="AB740" s="82"/>
      <c r="AC740" s="82"/>
      <c r="AD740" s="85" t="s">
        <v>2423</v>
      </c>
      <c r="AE740" s="84" t="str">
        <f>REPLACE(INDEX(GroupVertices[Group],MATCH("~"&amp;Edges[[#This Row],[Vertex 1]],GroupVertices[Vertex],0)),1,1,"")</f>
        <v>1</v>
      </c>
      <c r="AF740" s="84" t="str">
        <f>REPLACE(INDEX(GroupVertices[Group],MATCH("~"&amp;Edges[[#This Row],[Vertex 2]],GroupVertices[Vertex],0)),1,1,"")</f>
        <v>1</v>
      </c>
    </row>
    <row r="741" spans="1:32" ht="15">
      <c r="A741" s="66" t="s">
        <v>872</v>
      </c>
      <c r="B741" s="66" t="s">
        <v>907</v>
      </c>
      <c r="C741" s="67"/>
      <c r="D741" s="68"/>
      <c r="E741" s="69"/>
      <c r="F741" s="70"/>
      <c r="G741" s="67"/>
      <c r="H741" s="71"/>
      <c r="I741" s="72"/>
      <c r="J741" s="72"/>
      <c r="K741" s="35"/>
      <c r="L741" s="80">
        <v>741</v>
      </c>
      <c r="M741" s="80"/>
      <c r="N741" s="74"/>
      <c r="O741" s="82" t="s">
        <v>909</v>
      </c>
      <c r="P741" s="82" t="s">
        <v>197</v>
      </c>
      <c r="Q741" s="85" t="s">
        <v>1644</v>
      </c>
      <c r="R741" s="82" t="s">
        <v>872</v>
      </c>
      <c r="S741" s="82" t="s">
        <v>2338</v>
      </c>
      <c r="T741" s="87" t="str">
        <f>HYPERLINK("http://www.youtube.com/channel/UCzGNxXociT3FsvFnxjfyWWw")</f>
        <v>http://www.youtube.com/channel/UCzGNxXociT3FsvFnxjfyWWw</v>
      </c>
      <c r="U741" s="82"/>
      <c r="V741" s="82" t="s">
        <v>2375</v>
      </c>
      <c r="W741" s="87" t="str">
        <f t="shared" si="32"/>
        <v>https://www.youtube.com/watch?v=75c-kHKv0O4</v>
      </c>
      <c r="X741" s="82" t="s">
        <v>2384</v>
      </c>
      <c r="Y741" s="82">
        <v>0</v>
      </c>
      <c r="Z741" s="89">
        <v>45234.972337962965</v>
      </c>
      <c r="AA741" s="89">
        <v>45234.972337962965</v>
      </c>
      <c r="AB741" s="82"/>
      <c r="AC741" s="82"/>
      <c r="AD741" s="85" t="s">
        <v>2423</v>
      </c>
      <c r="AE741" s="84" t="str">
        <f>REPLACE(INDEX(GroupVertices[Group],MATCH("~"&amp;Edges[[#This Row],[Vertex 1]],GroupVertices[Vertex],0)),1,1,"")</f>
        <v>1</v>
      </c>
      <c r="AF741" s="84" t="str">
        <f>REPLACE(INDEX(GroupVertices[Group],MATCH("~"&amp;Edges[[#This Row],[Vertex 2]],GroupVertices[Vertex],0)),1,1,"")</f>
        <v>1</v>
      </c>
    </row>
    <row r="742" spans="1:32" ht="15">
      <c r="A742" s="66" t="s">
        <v>873</v>
      </c>
      <c r="B742" s="66" t="s">
        <v>907</v>
      </c>
      <c r="C742" s="67"/>
      <c r="D742" s="68"/>
      <c r="E742" s="69"/>
      <c r="F742" s="70"/>
      <c r="G742" s="67"/>
      <c r="H742" s="71"/>
      <c r="I742" s="72"/>
      <c r="J742" s="72"/>
      <c r="K742" s="35"/>
      <c r="L742" s="80">
        <v>742</v>
      </c>
      <c r="M742" s="80"/>
      <c r="N742" s="74"/>
      <c r="O742" s="82" t="s">
        <v>909</v>
      </c>
      <c r="P742" s="82" t="s">
        <v>197</v>
      </c>
      <c r="Q742" s="85" t="s">
        <v>1645</v>
      </c>
      <c r="R742" s="82" t="s">
        <v>873</v>
      </c>
      <c r="S742" s="82" t="s">
        <v>2339</v>
      </c>
      <c r="T742" s="87" t="str">
        <f>HYPERLINK("http://www.youtube.com/channel/UCFYHmDuwAH3A4J5_tM0D1Yg")</f>
        <v>http://www.youtube.com/channel/UCFYHmDuwAH3A4J5_tM0D1Yg</v>
      </c>
      <c r="U742" s="82"/>
      <c r="V742" s="82" t="s">
        <v>2375</v>
      </c>
      <c r="W742" s="87" t="str">
        <f t="shared" si="32"/>
        <v>https://www.youtube.com/watch?v=75c-kHKv0O4</v>
      </c>
      <c r="X742" s="82" t="s">
        <v>2384</v>
      </c>
      <c r="Y742" s="82">
        <v>0</v>
      </c>
      <c r="Z742" s="89">
        <v>45235.172268518516</v>
      </c>
      <c r="AA742" s="89">
        <v>45235.172268518516</v>
      </c>
      <c r="AB742" s="82"/>
      <c r="AC742" s="82"/>
      <c r="AD742" s="85" t="s">
        <v>2423</v>
      </c>
      <c r="AE742" s="84" t="str">
        <f>REPLACE(INDEX(GroupVertices[Group],MATCH("~"&amp;Edges[[#This Row],[Vertex 1]],GroupVertices[Vertex],0)),1,1,"")</f>
        <v>1</v>
      </c>
      <c r="AF742" s="84" t="str">
        <f>REPLACE(INDEX(GroupVertices[Group],MATCH("~"&amp;Edges[[#This Row],[Vertex 2]],GroupVertices[Vertex],0)),1,1,"")</f>
        <v>1</v>
      </c>
    </row>
    <row r="743" spans="1:32" ht="15">
      <c r="A743" s="66" t="s">
        <v>874</v>
      </c>
      <c r="B743" s="66" t="s">
        <v>907</v>
      </c>
      <c r="C743" s="67"/>
      <c r="D743" s="68"/>
      <c r="E743" s="69"/>
      <c r="F743" s="70"/>
      <c r="G743" s="67"/>
      <c r="H743" s="71"/>
      <c r="I743" s="72"/>
      <c r="J743" s="72"/>
      <c r="K743" s="35"/>
      <c r="L743" s="80">
        <v>743</v>
      </c>
      <c r="M743" s="80"/>
      <c r="N743" s="74"/>
      <c r="O743" s="82" t="s">
        <v>909</v>
      </c>
      <c r="P743" s="82" t="s">
        <v>197</v>
      </c>
      <c r="Q743" s="85" t="s">
        <v>1646</v>
      </c>
      <c r="R743" s="82" t="s">
        <v>874</v>
      </c>
      <c r="S743" s="82" t="s">
        <v>2340</v>
      </c>
      <c r="T743" s="87" t="str">
        <f>HYPERLINK("http://www.youtube.com/channel/UCubZsXkLZjSIdJSixQaKUsQ")</f>
        <v>http://www.youtube.com/channel/UCubZsXkLZjSIdJSixQaKUsQ</v>
      </c>
      <c r="U743" s="82"/>
      <c r="V743" s="82" t="s">
        <v>2375</v>
      </c>
      <c r="W743" s="87" t="str">
        <f t="shared" si="32"/>
        <v>https://www.youtube.com/watch?v=75c-kHKv0O4</v>
      </c>
      <c r="X743" s="82" t="s">
        <v>2384</v>
      </c>
      <c r="Y743" s="82">
        <v>0</v>
      </c>
      <c r="Z743" s="89">
        <v>45237.77310185185</v>
      </c>
      <c r="AA743" s="89">
        <v>45237.77310185185</v>
      </c>
      <c r="AB743" s="82"/>
      <c r="AC743" s="82"/>
      <c r="AD743" s="85" t="s">
        <v>2423</v>
      </c>
      <c r="AE743" s="84" t="str">
        <f>REPLACE(INDEX(GroupVertices[Group],MATCH("~"&amp;Edges[[#This Row],[Vertex 1]],GroupVertices[Vertex],0)),1,1,"")</f>
        <v>1</v>
      </c>
      <c r="AF743" s="84" t="str">
        <f>REPLACE(INDEX(GroupVertices[Group],MATCH("~"&amp;Edges[[#This Row],[Vertex 2]],GroupVertices[Vertex],0)),1,1,"")</f>
        <v>1</v>
      </c>
    </row>
    <row r="744" spans="1:32" ht="15">
      <c r="A744" s="66" t="s">
        <v>875</v>
      </c>
      <c r="B744" s="66" t="s">
        <v>907</v>
      </c>
      <c r="C744" s="67"/>
      <c r="D744" s="68"/>
      <c r="E744" s="69"/>
      <c r="F744" s="70"/>
      <c r="G744" s="67"/>
      <c r="H744" s="71"/>
      <c r="I744" s="72"/>
      <c r="J744" s="72"/>
      <c r="K744" s="35"/>
      <c r="L744" s="80">
        <v>744</v>
      </c>
      <c r="M744" s="80"/>
      <c r="N744" s="74"/>
      <c r="O744" s="82" t="s">
        <v>909</v>
      </c>
      <c r="P744" s="82" t="s">
        <v>197</v>
      </c>
      <c r="Q744" s="85" t="s">
        <v>1647</v>
      </c>
      <c r="R744" s="82" t="s">
        <v>875</v>
      </c>
      <c r="S744" s="82" t="s">
        <v>2341</v>
      </c>
      <c r="T744" s="87" t="str">
        <f>HYPERLINK("http://www.youtube.com/channel/UC-vzCz2yQshWqTTbGZI-fbQ")</f>
        <v>http://www.youtube.com/channel/UC-vzCz2yQshWqTTbGZI-fbQ</v>
      </c>
      <c r="U744" s="82"/>
      <c r="V744" s="82" t="s">
        <v>2375</v>
      </c>
      <c r="W744" s="87" t="str">
        <f t="shared" si="32"/>
        <v>https://www.youtube.com/watch?v=75c-kHKv0O4</v>
      </c>
      <c r="X744" s="82" t="s">
        <v>2384</v>
      </c>
      <c r="Y744" s="82">
        <v>0</v>
      </c>
      <c r="Z744" s="89">
        <v>45240.100960648146</v>
      </c>
      <c r="AA744" s="89">
        <v>45240.100960648146</v>
      </c>
      <c r="AB744" s="82"/>
      <c r="AC744" s="82"/>
      <c r="AD744" s="85" t="s">
        <v>2423</v>
      </c>
      <c r="AE744" s="84" t="str">
        <f>REPLACE(INDEX(GroupVertices[Group],MATCH("~"&amp;Edges[[#This Row],[Vertex 1]],GroupVertices[Vertex],0)),1,1,"")</f>
        <v>1</v>
      </c>
      <c r="AF744" s="84" t="str">
        <f>REPLACE(INDEX(GroupVertices[Group],MATCH("~"&amp;Edges[[#This Row],[Vertex 2]],GroupVertices[Vertex],0)),1,1,"")</f>
        <v>1</v>
      </c>
    </row>
    <row r="745" spans="1:32" ht="15">
      <c r="A745" s="66" t="s">
        <v>876</v>
      </c>
      <c r="B745" s="66" t="s">
        <v>907</v>
      </c>
      <c r="C745" s="67"/>
      <c r="D745" s="68"/>
      <c r="E745" s="69"/>
      <c r="F745" s="70"/>
      <c r="G745" s="67"/>
      <c r="H745" s="71"/>
      <c r="I745" s="72"/>
      <c r="J745" s="72"/>
      <c r="K745" s="35"/>
      <c r="L745" s="80">
        <v>745</v>
      </c>
      <c r="M745" s="80"/>
      <c r="N745" s="74"/>
      <c r="O745" s="82" t="s">
        <v>909</v>
      </c>
      <c r="P745" s="82" t="s">
        <v>197</v>
      </c>
      <c r="Q745" s="85" t="s">
        <v>1648</v>
      </c>
      <c r="R745" s="82" t="s">
        <v>876</v>
      </c>
      <c r="S745" s="82" t="s">
        <v>2342</v>
      </c>
      <c r="T745" s="87" t="str">
        <f>HYPERLINK("http://www.youtube.com/channel/UCu6XMECoPUr8cEZl8rGTUDA")</f>
        <v>http://www.youtube.com/channel/UCu6XMECoPUr8cEZl8rGTUDA</v>
      </c>
      <c r="U745" s="82"/>
      <c r="V745" s="82" t="s">
        <v>2375</v>
      </c>
      <c r="W745" s="87" t="str">
        <f t="shared" si="32"/>
        <v>https://www.youtube.com/watch?v=75c-kHKv0O4</v>
      </c>
      <c r="X745" s="82" t="s">
        <v>2384</v>
      </c>
      <c r="Y745" s="82">
        <v>0</v>
      </c>
      <c r="Z745" s="89">
        <v>45244.798171296294</v>
      </c>
      <c r="AA745" s="89">
        <v>45244.798171296294</v>
      </c>
      <c r="AB745" s="82"/>
      <c r="AC745" s="82"/>
      <c r="AD745" s="85" t="s">
        <v>2423</v>
      </c>
      <c r="AE745" s="84" t="str">
        <f>REPLACE(INDEX(GroupVertices[Group],MATCH("~"&amp;Edges[[#This Row],[Vertex 1]],GroupVertices[Vertex],0)),1,1,"")</f>
        <v>1</v>
      </c>
      <c r="AF745" s="84" t="str">
        <f>REPLACE(INDEX(GroupVertices[Group],MATCH("~"&amp;Edges[[#This Row],[Vertex 2]],GroupVertices[Vertex],0)),1,1,"")</f>
        <v>1</v>
      </c>
    </row>
    <row r="746" spans="1:32" ht="15">
      <c r="A746" s="66" t="s">
        <v>877</v>
      </c>
      <c r="B746" s="66" t="s">
        <v>907</v>
      </c>
      <c r="C746" s="67"/>
      <c r="D746" s="68"/>
      <c r="E746" s="69"/>
      <c r="F746" s="70"/>
      <c r="G746" s="67"/>
      <c r="H746" s="71"/>
      <c r="I746" s="72"/>
      <c r="J746" s="72"/>
      <c r="K746" s="35"/>
      <c r="L746" s="80">
        <v>746</v>
      </c>
      <c r="M746" s="80"/>
      <c r="N746" s="74"/>
      <c r="O746" s="82" t="s">
        <v>909</v>
      </c>
      <c r="P746" s="82" t="s">
        <v>197</v>
      </c>
      <c r="Q746" s="85" t="s">
        <v>1649</v>
      </c>
      <c r="R746" s="82" t="s">
        <v>877</v>
      </c>
      <c r="S746" s="82" t="s">
        <v>2343</v>
      </c>
      <c r="T746" s="87" t="str">
        <f>HYPERLINK("http://www.youtube.com/channel/UC11WTN4ni6oUYs9knG4IqKg")</f>
        <v>http://www.youtube.com/channel/UC11WTN4ni6oUYs9knG4IqKg</v>
      </c>
      <c r="U746" s="82"/>
      <c r="V746" s="82" t="s">
        <v>2375</v>
      </c>
      <c r="W746" s="87" t="str">
        <f t="shared" si="32"/>
        <v>https://www.youtube.com/watch?v=75c-kHKv0O4</v>
      </c>
      <c r="X746" s="82" t="s">
        <v>2384</v>
      </c>
      <c r="Y746" s="82">
        <v>0</v>
      </c>
      <c r="Z746" s="89">
        <v>45246.029699074075</v>
      </c>
      <c r="AA746" s="89">
        <v>45246.029699074075</v>
      </c>
      <c r="AB746" s="82"/>
      <c r="AC746" s="82"/>
      <c r="AD746" s="85" t="s">
        <v>2423</v>
      </c>
      <c r="AE746" s="84" t="str">
        <f>REPLACE(INDEX(GroupVertices[Group],MATCH("~"&amp;Edges[[#This Row],[Vertex 1]],GroupVertices[Vertex],0)),1,1,"")</f>
        <v>1</v>
      </c>
      <c r="AF746" s="84" t="str">
        <f>REPLACE(INDEX(GroupVertices[Group],MATCH("~"&amp;Edges[[#This Row],[Vertex 2]],GroupVertices[Vertex],0)),1,1,"")</f>
        <v>1</v>
      </c>
    </row>
    <row r="747" spans="1:32" ht="15">
      <c r="A747" s="66" t="s">
        <v>878</v>
      </c>
      <c r="B747" s="66" t="s">
        <v>907</v>
      </c>
      <c r="C747" s="67"/>
      <c r="D747" s="68"/>
      <c r="E747" s="69"/>
      <c r="F747" s="70"/>
      <c r="G747" s="67"/>
      <c r="H747" s="71"/>
      <c r="I747" s="72"/>
      <c r="J747" s="72"/>
      <c r="K747" s="35"/>
      <c r="L747" s="80">
        <v>747</v>
      </c>
      <c r="M747" s="80"/>
      <c r="N747" s="74"/>
      <c r="O747" s="82" t="s">
        <v>909</v>
      </c>
      <c r="P747" s="82" t="s">
        <v>197</v>
      </c>
      <c r="Q747" s="85" t="s">
        <v>1650</v>
      </c>
      <c r="R747" s="82" t="s">
        <v>878</v>
      </c>
      <c r="S747" s="82" t="s">
        <v>2344</v>
      </c>
      <c r="T747" s="87" t="str">
        <f>HYPERLINK("http://www.youtube.com/channel/UCq2p2_pIUPNIaD_cR_ct2vw")</f>
        <v>http://www.youtube.com/channel/UCq2p2_pIUPNIaD_cR_ct2vw</v>
      </c>
      <c r="U747" s="82"/>
      <c r="V747" s="82" t="s">
        <v>2375</v>
      </c>
      <c r="W747" s="87" t="str">
        <f t="shared" si="32"/>
        <v>https://www.youtube.com/watch?v=75c-kHKv0O4</v>
      </c>
      <c r="X747" s="82" t="s">
        <v>2384</v>
      </c>
      <c r="Y747" s="82">
        <v>0</v>
      </c>
      <c r="Z747" s="89">
        <v>45246.264085648145</v>
      </c>
      <c r="AA747" s="89">
        <v>45246.264085648145</v>
      </c>
      <c r="AB747" s="82"/>
      <c r="AC747" s="82"/>
      <c r="AD747" s="85" t="s">
        <v>2423</v>
      </c>
      <c r="AE747" s="84" t="str">
        <f>REPLACE(INDEX(GroupVertices[Group],MATCH("~"&amp;Edges[[#This Row],[Vertex 1]],GroupVertices[Vertex],0)),1,1,"")</f>
        <v>1</v>
      </c>
      <c r="AF747" s="84" t="str">
        <f>REPLACE(INDEX(GroupVertices[Group],MATCH("~"&amp;Edges[[#This Row],[Vertex 2]],GroupVertices[Vertex],0)),1,1,"")</f>
        <v>1</v>
      </c>
    </row>
    <row r="748" spans="1:32" ht="15">
      <c r="A748" s="66" t="s">
        <v>879</v>
      </c>
      <c r="B748" s="66" t="s">
        <v>907</v>
      </c>
      <c r="C748" s="67"/>
      <c r="D748" s="68"/>
      <c r="E748" s="69"/>
      <c r="F748" s="70"/>
      <c r="G748" s="67"/>
      <c r="H748" s="71"/>
      <c r="I748" s="72"/>
      <c r="J748" s="72"/>
      <c r="K748" s="35"/>
      <c r="L748" s="80">
        <v>748</v>
      </c>
      <c r="M748" s="80"/>
      <c r="N748" s="74"/>
      <c r="O748" s="82" t="s">
        <v>909</v>
      </c>
      <c r="P748" s="82" t="s">
        <v>197</v>
      </c>
      <c r="Q748" s="85" t="s">
        <v>1651</v>
      </c>
      <c r="R748" s="82" t="s">
        <v>879</v>
      </c>
      <c r="S748" s="82" t="s">
        <v>2345</v>
      </c>
      <c r="T748" s="87" t="str">
        <f>HYPERLINK("http://www.youtube.com/channel/UCZ3CTz-xiePrSuhw78kzkhg")</f>
        <v>http://www.youtube.com/channel/UCZ3CTz-xiePrSuhw78kzkhg</v>
      </c>
      <c r="U748" s="82"/>
      <c r="V748" s="82" t="s">
        <v>2375</v>
      </c>
      <c r="W748" s="87" t="str">
        <f t="shared" si="32"/>
        <v>https://www.youtube.com/watch?v=75c-kHKv0O4</v>
      </c>
      <c r="X748" s="82" t="s">
        <v>2384</v>
      </c>
      <c r="Y748" s="82">
        <v>0</v>
      </c>
      <c r="Z748" s="89">
        <v>45250.86121527778</v>
      </c>
      <c r="AA748" s="89">
        <v>45250.86121527778</v>
      </c>
      <c r="AB748" s="82"/>
      <c r="AC748" s="82"/>
      <c r="AD748" s="85" t="s">
        <v>2423</v>
      </c>
      <c r="AE748" s="84" t="str">
        <f>REPLACE(INDEX(GroupVertices[Group],MATCH("~"&amp;Edges[[#This Row],[Vertex 1]],GroupVertices[Vertex],0)),1,1,"")</f>
        <v>1</v>
      </c>
      <c r="AF748" s="84" t="str">
        <f>REPLACE(INDEX(GroupVertices[Group],MATCH("~"&amp;Edges[[#This Row],[Vertex 2]],GroupVertices[Vertex],0)),1,1,"")</f>
        <v>1</v>
      </c>
    </row>
    <row r="749" spans="1:32" ht="15">
      <c r="A749" s="66" t="s">
        <v>880</v>
      </c>
      <c r="B749" s="66" t="s">
        <v>907</v>
      </c>
      <c r="C749" s="67"/>
      <c r="D749" s="68"/>
      <c r="E749" s="69"/>
      <c r="F749" s="70"/>
      <c r="G749" s="67"/>
      <c r="H749" s="71"/>
      <c r="I749" s="72"/>
      <c r="J749" s="72"/>
      <c r="K749" s="35"/>
      <c r="L749" s="80">
        <v>749</v>
      </c>
      <c r="M749" s="80"/>
      <c r="N749" s="74"/>
      <c r="O749" s="82" t="s">
        <v>909</v>
      </c>
      <c r="P749" s="82" t="s">
        <v>197</v>
      </c>
      <c r="Q749" s="85" t="s">
        <v>1652</v>
      </c>
      <c r="R749" s="82" t="s">
        <v>880</v>
      </c>
      <c r="S749" s="82" t="s">
        <v>2346</v>
      </c>
      <c r="T749" s="87" t="str">
        <f>HYPERLINK("http://www.youtube.com/channel/UChxaMZoD1pvKNbr5nvBcg0Q")</f>
        <v>http://www.youtube.com/channel/UChxaMZoD1pvKNbr5nvBcg0Q</v>
      </c>
      <c r="U749" s="82"/>
      <c r="V749" s="82" t="s">
        <v>2370</v>
      </c>
      <c r="W749" s="87" t="str">
        <f>HYPERLINK("https://www.youtube.com/watch?v=yBF2fGUO5cQ")</f>
        <v>https://www.youtube.com/watch?v=yBF2fGUO5cQ</v>
      </c>
      <c r="X749" s="82" t="s">
        <v>2384</v>
      </c>
      <c r="Y749" s="82">
        <v>7</v>
      </c>
      <c r="Z749" s="89">
        <v>45283.17028935185</v>
      </c>
      <c r="AA749" s="89">
        <v>45283.17028935185</v>
      </c>
      <c r="AB749" s="82"/>
      <c r="AC749" s="82"/>
      <c r="AD749" s="85" t="s">
        <v>2423</v>
      </c>
      <c r="AE749" s="84" t="str">
        <f>REPLACE(INDEX(GroupVertices[Group],MATCH("~"&amp;Edges[[#This Row],[Vertex 1]],GroupVertices[Vertex],0)),1,1,"")</f>
        <v>1</v>
      </c>
      <c r="AF749" s="84" t="str">
        <f>REPLACE(INDEX(GroupVertices[Group],MATCH("~"&amp;Edges[[#This Row],[Vertex 2]],GroupVertices[Vertex],0)),1,1,"")</f>
        <v>1</v>
      </c>
    </row>
    <row r="750" spans="1:32" ht="15">
      <c r="A750" s="66" t="s">
        <v>880</v>
      </c>
      <c r="B750" s="66" t="s">
        <v>907</v>
      </c>
      <c r="C750" s="67"/>
      <c r="D750" s="68"/>
      <c r="E750" s="69"/>
      <c r="F750" s="70"/>
      <c r="G750" s="67"/>
      <c r="H750" s="71"/>
      <c r="I750" s="72"/>
      <c r="J750" s="72"/>
      <c r="K750" s="35"/>
      <c r="L750" s="80">
        <v>750</v>
      </c>
      <c r="M750" s="80"/>
      <c r="N750" s="74"/>
      <c r="O750" s="82" t="s">
        <v>909</v>
      </c>
      <c r="P750" s="82" t="s">
        <v>197</v>
      </c>
      <c r="Q750" s="85" t="s">
        <v>1653</v>
      </c>
      <c r="R750" s="82" t="s">
        <v>880</v>
      </c>
      <c r="S750" s="82" t="s">
        <v>2346</v>
      </c>
      <c r="T750" s="87" t="str">
        <f>HYPERLINK("http://www.youtube.com/channel/UChxaMZoD1pvKNbr5nvBcg0Q")</f>
        <v>http://www.youtube.com/channel/UChxaMZoD1pvKNbr5nvBcg0Q</v>
      </c>
      <c r="U750" s="82"/>
      <c r="V750" s="82" t="s">
        <v>2375</v>
      </c>
      <c r="W750" s="87" t="str">
        <f aca="true" t="shared" si="33" ref="W750:W765">HYPERLINK("https://www.youtube.com/watch?v=75c-kHKv0O4")</f>
        <v>https://www.youtube.com/watch?v=75c-kHKv0O4</v>
      </c>
      <c r="X750" s="82" t="s">
        <v>2384</v>
      </c>
      <c r="Y750" s="82">
        <v>0</v>
      </c>
      <c r="Z750" s="89">
        <v>45254.77898148148</v>
      </c>
      <c r="AA750" s="89">
        <v>45254.77898148148</v>
      </c>
      <c r="AB750" s="82"/>
      <c r="AC750" s="82"/>
      <c r="AD750" s="85" t="s">
        <v>2423</v>
      </c>
      <c r="AE750" s="84" t="str">
        <f>REPLACE(INDEX(GroupVertices[Group],MATCH("~"&amp;Edges[[#This Row],[Vertex 1]],GroupVertices[Vertex],0)),1,1,"")</f>
        <v>1</v>
      </c>
      <c r="AF750" s="84" t="str">
        <f>REPLACE(INDEX(GroupVertices[Group],MATCH("~"&amp;Edges[[#This Row],[Vertex 2]],GroupVertices[Vertex],0)),1,1,"")</f>
        <v>1</v>
      </c>
    </row>
    <row r="751" spans="1:32" ht="15">
      <c r="A751" s="66" t="s">
        <v>881</v>
      </c>
      <c r="B751" s="66" t="s">
        <v>907</v>
      </c>
      <c r="C751" s="67"/>
      <c r="D751" s="68"/>
      <c r="E751" s="69"/>
      <c r="F751" s="70"/>
      <c r="G751" s="67"/>
      <c r="H751" s="71"/>
      <c r="I751" s="72"/>
      <c r="J751" s="72"/>
      <c r="K751" s="35"/>
      <c r="L751" s="80">
        <v>751</v>
      </c>
      <c r="M751" s="80"/>
      <c r="N751" s="74"/>
      <c r="O751" s="82" t="s">
        <v>909</v>
      </c>
      <c r="P751" s="82" t="s">
        <v>197</v>
      </c>
      <c r="Q751" s="85" t="s">
        <v>1654</v>
      </c>
      <c r="R751" s="82" t="s">
        <v>881</v>
      </c>
      <c r="S751" s="82" t="s">
        <v>2347</v>
      </c>
      <c r="T751" s="87" t="str">
        <f>HYPERLINK("http://www.youtube.com/channel/UCLtVjbKCEUXG6iYlLNtzW8g")</f>
        <v>http://www.youtube.com/channel/UCLtVjbKCEUXG6iYlLNtzW8g</v>
      </c>
      <c r="U751" s="82"/>
      <c r="V751" s="82" t="s">
        <v>2375</v>
      </c>
      <c r="W751" s="87" t="str">
        <f t="shared" si="33"/>
        <v>https://www.youtube.com/watch?v=75c-kHKv0O4</v>
      </c>
      <c r="X751" s="82" t="s">
        <v>2384</v>
      </c>
      <c r="Y751" s="82">
        <v>0</v>
      </c>
      <c r="Z751" s="89">
        <v>45256.927615740744</v>
      </c>
      <c r="AA751" s="89">
        <v>45256.927615740744</v>
      </c>
      <c r="AB751" s="82"/>
      <c r="AC751" s="82"/>
      <c r="AD751" s="85" t="s">
        <v>2423</v>
      </c>
      <c r="AE751" s="84" t="str">
        <f>REPLACE(INDEX(GroupVertices[Group],MATCH("~"&amp;Edges[[#This Row],[Vertex 1]],GroupVertices[Vertex],0)),1,1,"")</f>
        <v>1</v>
      </c>
      <c r="AF751" s="84" t="str">
        <f>REPLACE(INDEX(GroupVertices[Group],MATCH("~"&amp;Edges[[#This Row],[Vertex 2]],GroupVertices[Vertex],0)),1,1,"")</f>
        <v>1</v>
      </c>
    </row>
    <row r="752" spans="1:32" ht="15">
      <c r="A752" s="66" t="s">
        <v>882</v>
      </c>
      <c r="B752" s="66" t="s">
        <v>907</v>
      </c>
      <c r="C752" s="67"/>
      <c r="D752" s="68"/>
      <c r="E752" s="69"/>
      <c r="F752" s="70"/>
      <c r="G752" s="67"/>
      <c r="H752" s="71"/>
      <c r="I752" s="72"/>
      <c r="J752" s="72"/>
      <c r="K752" s="35"/>
      <c r="L752" s="80">
        <v>752</v>
      </c>
      <c r="M752" s="80"/>
      <c r="N752" s="74"/>
      <c r="O752" s="82" t="s">
        <v>909</v>
      </c>
      <c r="P752" s="82" t="s">
        <v>197</v>
      </c>
      <c r="Q752" s="85" t="s">
        <v>1655</v>
      </c>
      <c r="R752" s="82" t="s">
        <v>882</v>
      </c>
      <c r="S752" s="82" t="s">
        <v>2348</v>
      </c>
      <c r="T752" s="87" t="str">
        <f>HYPERLINK("http://www.youtube.com/channel/UCq4IgxLNnJQm2_144ae2bzw")</f>
        <v>http://www.youtube.com/channel/UCq4IgxLNnJQm2_144ae2bzw</v>
      </c>
      <c r="U752" s="82"/>
      <c r="V752" s="82" t="s">
        <v>2375</v>
      </c>
      <c r="W752" s="87" t="str">
        <f t="shared" si="33"/>
        <v>https://www.youtube.com/watch?v=75c-kHKv0O4</v>
      </c>
      <c r="X752" s="82" t="s">
        <v>2384</v>
      </c>
      <c r="Y752" s="82">
        <v>0</v>
      </c>
      <c r="Z752" s="89">
        <v>45257.53381944444</v>
      </c>
      <c r="AA752" s="89">
        <v>45257.53381944444</v>
      </c>
      <c r="AB752" s="82"/>
      <c r="AC752" s="82"/>
      <c r="AD752" s="85" t="s">
        <v>2423</v>
      </c>
      <c r="AE752" s="84" t="str">
        <f>REPLACE(INDEX(GroupVertices[Group],MATCH("~"&amp;Edges[[#This Row],[Vertex 1]],GroupVertices[Vertex],0)),1,1,"")</f>
        <v>1</v>
      </c>
      <c r="AF752" s="84" t="str">
        <f>REPLACE(INDEX(GroupVertices[Group],MATCH("~"&amp;Edges[[#This Row],[Vertex 2]],GroupVertices[Vertex],0)),1,1,"")</f>
        <v>1</v>
      </c>
    </row>
    <row r="753" spans="1:32" ht="15">
      <c r="A753" s="66" t="s">
        <v>883</v>
      </c>
      <c r="B753" s="66" t="s">
        <v>907</v>
      </c>
      <c r="C753" s="67"/>
      <c r="D753" s="68"/>
      <c r="E753" s="69"/>
      <c r="F753" s="70"/>
      <c r="G753" s="67"/>
      <c r="H753" s="71"/>
      <c r="I753" s="72"/>
      <c r="J753" s="72"/>
      <c r="K753" s="35"/>
      <c r="L753" s="80">
        <v>753</v>
      </c>
      <c r="M753" s="80"/>
      <c r="N753" s="74"/>
      <c r="O753" s="82" t="s">
        <v>909</v>
      </c>
      <c r="P753" s="82" t="s">
        <v>197</v>
      </c>
      <c r="Q753" s="85" t="s">
        <v>1656</v>
      </c>
      <c r="R753" s="82" t="s">
        <v>883</v>
      </c>
      <c r="S753" s="82" t="s">
        <v>2349</v>
      </c>
      <c r="T753" s="87" t="str">
        <f>HYPERLINK("http://www.youtube.com/channel/UCq_jWnjVYU23_Ygnbr2oNkQ")</f>
        <v>http://www.youtube.com/channel/UCq_jWnjVYU23_Ygnbr2oNkQ</v>
      </c>
      <c r="U753" s="82"/>
      <c r="V753" s="82" t="s">
        <v>2375</v>
      </c>
      <c r="W753" s="87" t="str">
        <f t="shared" si="33"/>
        <v>https://www.youtube.com/watch?v=75c-kHKv0O4</v>
      </c>
      <c r="X753" s="82" t="s">
        <v>2384</v>
      </c>
      <c r="Y753" s="82">
        <v>0</v>
      </c>
      <c r="Z753" s="89">
        <v>45258.66483796296</v>
      </c>
      <c r="AA753" s="89">
        <v>45258.66483796296</v>
      </c>
      <c r="AB753" s="82"/>
      <c r="AC753" s="82"/>
      <c r="AD753" s="85" t="s">
        <v>2423</v>
      </c>
      <c r="AE753" s="84" t="str">
        <f>REPLACE(INDEX(GroupVertices[Group],MATCH("~"&amp;Edges[[#This Row],[Vertex 1]],GroupVertices[Vertex],0)),1,1,"")</f>
        <v>1</v>
      </c>
      <c r="AF753" s="84" t="str">
        <f>REPLACE(INDEX(GroupVertices[Group],MATCH("~"&amp;Edges[[#This Row],[Vertex 2]],GroupVertices[Vertex],0)),1,1,"")</f>
        <v>1</v>
      </c>
    </row>
    <row r="754" spans="1:32" ht="15">
      <c r="A754" s="66" t="s">
        <v>883</v>
      </c>
      <c r="B754" s="66" t="s">
        <v>907</v>
      </c>
      <c r="C754" s="67"/>
      <c r="D754" s="68"/>
      <c r="E754" s="69"/>
      <c r="F754" s="70"/>
      <c r="G754" s="67"/>
      <c r="H754" s="71"/>
      <c r="I754" s="72"/>
      <c r="J754" s="72"/>
      <c r="K754" s="35"/>
      <c r="L754" s="80">
        <v>754</v>
      </c>
      <c r="M754" s="80"/>
      <c r="N754" s="74"/>
      <c r="O754" s="82" t="s">
        <v>909</v>
      </c>
      <c r="P754" s="82" t="s">
        <v>197</v>
      </c>
      <c r="Q754" s="85" t="s">
        <v>1657</v>
      </c>
      <c r="R754" s="82" t="s">
        <v>883</v>
      </c>
      <c r="S754" s="82" t="s">
        <v>2349</v>
      </c>
      <c r="T754" s="87" t="str">
        <f>HYPERLINK("http://www.youtube.com/channel/UCq_jWnjVYU23_Ygnbr2oNkQ")</f>
        <v>http://www.youtube.com/channel/UCq_jWnjVYU23_Ygnbr2oNkQ</v>
      </c>
      <c r="U754" s="82"/>
      <c r="V754" s="82" t="s">
        <v>2375</v>
      </c>
      <c r="W754" s="87" t="str">
        <f t="shared" si="33"/>
        <v>https://www.youtube.com/watch?v=75c-kHKv0O4</v>
      </c>
      <c r="X754" s="82" t="s">
        <v>2384</v>
      </c>
      <c r="Y754" s="82">
        <v>0</v>
      </c>
      <c r="Z754" s="89">
        <v>45258.66502314815</v>
      </c>
      <c r="AA754" s="89">
        <v>45258.66502314815</v>
      </c>
      <c r="AB754" s="82"/>
      <c r="AC754" s="82"/>
      <c r="AD754" s="85" t="s">
        <v>2423</v>
      </c>
      <c r="AE754" s="84" t="str">
        <f>REPLACE(INDEX(GroupVertices[Group],MATCH("~"&amp;Edges[[#This Row],[Vertex 1]],GroupVertices[Vertex],0)),1,1,"")</f>
        <v>1</v>
      </c>
      <c r="AF754" s="84" t="str">
        <f>REPLACE(INDEX(GroupVertices[Group],MATCH("~"&amp;Edges[[#This Row],[Vertex 2]],GroupVertices[Vertex],0)),1,1,"")</f>
        <v>1</v>
      </c>
    </row>
    <row r="755" spans="1:32" ht="15">
      <c r="A755" s="66" t="s">
        <v>883</v>
      </c>
      <c r="B755" s="66" t="s">
        <v>907</v>
      </c>
      <c r="C755" s="67"/>
      <c r="D755" s="68"/>
      <c r="E755" s="69"/>
      <c r="F755" s="70"/>
      <c r="G755" s="67"/>
      <c r="H755" s="71"/>
      <c r="I755" s="72"/>
      <c r="J755" s="72"/>
      <c r="K755" s="35"/>
      <c r="L755" s="80">
        <v>755</v>
      </c>
      <c r="M755" s="80"/>
      <c r="N755" s="74"/>
      <c r="O755" s="82" t="s">
        <v>909</v>
      </c>
      <c r="P755" s="82" t="s">
        <v>197</v>
      </c>
      <c r="Q755" s="85" t="s">
        <v>1658</v>
      </c>
      <c r="R755" s="82" t="s">
        <v>883</v>
      </c>
      <c r="S755" s="82" t="s">
        <v>2349</v>
      </c>
      <c r="T755" s="87" t="str">
        <f>HYPERLINK("http://www.youtube.com/channel/UCq_jWnjVYU23_Ygnbr2oNkQ")</f>
        <v>http://www.youtube.com/channel/UCq_jWnjVYU23_Ygnbr2oNkQ</v>
      </c>
      <c r="U755" s="82"/>
      <c r="V755" s="82" t="s">
        <v>2375</v>
      </c>
      <c r="W755" s="87" t="str">
        <f t="shared" si="33"/>
        <v>https://www.youtube.com/watch?v=75c-kHKv0O4</v>
      </c>
      <c r="X755" s="82" t="s">
        <v>2384</v>
      </c>
      <c r="Y755" s="82">
        <v>0</v>
      </c>
      <c r="Z755" s="89">
        <v>45258.66607638889</v>
      </c>
      <c r="AA755" s="89">
        <v>45258.66607638889</v>
      </c>
      <c r="AB755" s="82"/>
      <c r="AC755" s="82"/>
      <c r="AD755" s="85" t="s">
        <v>2423</v>
      </c>
      <c r="AE755" s="84" t="str">
        <f>REPLACE(INDEX(GroupVertices[Group],MATCH("~"&amp;Edges[[#This Row],[Vertex 1]],GroupVertices[Vertex],0)),1,1,"")</f>
        <v>1</v>
      </c>
      <c r="AF755" s="84" t="str">
        <f>REPLACE(INDEX(GroupVertices[Group],MATCH("~"&amp;Edges[[#This Row],[Vertex 2]],GroupVertices[Vertex],0)),1,1,"")</f>
        <v>1</v>
      </c>
    </row>
    <row r="756" spans="1:32" ht="15">
      <c r="A756" s="66" t="s">
        <v>884</v>
      </c>
      <c r="B756" s="66" t="s">
        <v>907</v>
      </c>
      <c r="C756" s="67"/>
      <c r="D756" s="68"/>
      <c r="E756" s="69"/>
      <c r="F756" s="70"/>
      <c r="G756" s="67"/>
      <c r="H756" s="71"/>
      <c r="I756" s="72"/>
      <c r="J756" s="72"/>
      <c r="K756" s="35"/>
      <c r="L756" s="80">
        <v>756</v>
      </c>
      <c r="M756" s="80"/>
      <c r="N756" s="74"/>
      <c r="O756" s="82" t="s">
        <v>909</v>
      </c>
      <c r="P756" s="82" t="s">
        <v>197</v>
      </c>
      <c r="Q756" s="85" t="s">
        <v>1659</v>
      </c>
      <c r="R756" s="82" t="s">
        <v>884</v>
      </c>
      <c r="S756" s="82" t="s">
        <v>2350</v>
      </c>
      <c r="T756" s="87" t="str">
        <f>HYPERLINK("http://www.youtube.com/channel/UCjLcr3A_CtYzH9rzOr-YtgA")</f>
        <v>http://www.youtube.com/channel/UCjLcr3A_CtYzH9rzOr-YtgA</v>
      </c>
      <c r="U756" s="82"/>
      <c r="V756" s="82" t="s">
        <v>2375</v>
      </c>
      <c r="W756" s="87" t="str">
        <f t="shared" si="33"/>
        <v>https://www.youtube.com/watch?v=75c-kHKv0O4</v>
      </c>
      <c r="X756" s="82" t="s">
        <v>2384</v>
      </c>
      <c r="Y756" s="82">
        <v>1</v>
      </c>
      <c r="Z756" s="89">
        <v>45267.86277777778</v>
      </c>
      <c r="AA756" s="89">
        <v>45267.86277777778</v>
      </c>
      <c r="AB756" s="82"/>
      <c r="AC756" s="82"/>
      <c r="AD756" s="85" t="s">
        <v>2423</v>
      </c>
      <c r="AE756" s="84" t="str">
        <f>REPLACE(INDEX(GroupVertices[Group],MATCH("~"&amp;Edges[[#This Row],[Vertex 1]],GroupVertices[Vertex],0)),1,1,"")</f>
        <v>1</v>
      </c>
      <c r="AF756" s="84" t="str">
        <f>REPLACE(INDEX(GroupVertices[Group],MATCH("~"&amp;Edges[[#This Row],[Vertex 2]],GroupVertices[Vertex],0)),1,1,"")</f>
        <v>1</v>
      </c>
    </row>
    <row r="757" spans="1:32" ht="15">
      <c r="A757" s="66" t="s">
        <v>885</v>
      </c>
      <c r="B757" s="66" t="s">
        <v>907</v>
      </c>
      <c r="C757" s="67"/>
      <c r="D757" s="68"/>
      <c r="E757" s="69"/>
      <c r="F757" s="70"/>
      <c r="G757" s="67"/>
      <c r="H757" s="71"/>
      <c r="I757" s="72"/>
      <c r="J757" s="72"/>
      <c r="K757" s="35"/>
      <c r="L757" s="80">
        <v>757</v>
      </c>
      <c r="M757" s="80"/>
      <c r="N757" s="74"/>
      <c r="O757" s="82" t="s">
        <v>909</v>
      </c>
      <c r="P757" s="82" t="s">
        <v>197</v>
      </c>
      <c r="Q757" s="85" t="s">
        <v>1660</v>
      </c>
      <c r="R757" s="82" t="s">
        <v>885</v>
      </c>
      <c r="S757" s="82" t="s">
        <v>2351</v>
      </c>
      <c r="T757" s="87" t="str">
        <f>HYPERLINK("http://www.youtube.com/channel/UCMChMHYrzEqbfqoSDECldlA")</f>
        <v>http://www.youtube.com/channel/UCMChMHYrzEqbfqoSDECldlA</v>
      </c>
      <c r="U757" s="82"/>
      <c r="V757" s="82" t="s">
        <v>2375</v>
      </c>
      <c r="W757" s="87" t="str">
        <f t="shared" si="33"/>
        <v>https://www.youtube.com/watch?v=75c-kHKv0O4</v>
      </c>
      <c r="X757" s="82" t="s">
        <v>2384</v>
      </c>
      <c r="Y757" s="82">
        <v>0</v>
      </c>
      <c r="Z757" s="89">
        <v>45268.340833333335</v>
      </c>
      <c r="AA757" s="89">
        <v>45268.340833333335</v>
      </c>
      <c r="AB757" s="82"/>
      <c r="AC757" s="82"/>
      <c r="AD757" s="85" t="s">
        <v>2423</v>
      </c>
      <c r="AE757" s="84" t="str">
        <f>REPLACE(INDEX(GroupVertices[Group],MATCH("~"&amp;Edges[[#This Row],[Vertex 1]],GroupVertices[Vertex],0)),1,1,"")</f>
        <v>1</v>
      </c>
      <c r="AF757" s="84" t="str">
        <f>REPLACE(INDEX(GroupVertices[Group],MATCH("~"&amp;Edges[[#This Row],[Vertex 2]],GroupVertices[Vertex],0)),1,1,"")</f>
        <v>1</v>
      </c>
    </row>
    <row r="758" spans="1:32" ht="15">
      <c r="A758" s="66" t="s">
        <v>886</v>
      </c>
      <c r="B758" s="66" t="s">
        <v>907</v>
      </c>
      <c r="C758" s="67"/>
      <c r="D758" s="68"/>
      <c r="E758" s="69"/>
      <c r="F758" s="70"/>
      <c r="G758" s="67"/>
      <c r="H758" s="71"/>
      <c r="I758" s="72"/>
      <c r="J758" s="72"/>
      <c r="K758" s="35"/>
      <c r="L758" s="80">
        <v>758</v>
      </c>
      <c r="M758" s="80"/>
      <c r="N758" s="74"/>
      <c r="O758" s="82" t="s">
        <v>909</v>
      </c>
      <c r="P758" s="82" t="s">
        <v>197</v>
      </c>
      <c r="Q758" s="85" t="s">
        <v>1661</v>
      </c>
      <c r="R758" s="82" t="s">
        <v>886</v>
      </c>
      <c r="S758" s="82" t="s">
        <v>2352</v>
      </c>
      <c r="T758" s="87" t="str">
        <f>HYPERLINK("http://www.youtube.com/channel/UCNbW80cX_mYoE1XaBAlVaTg")</f>
        <v>http://www.youtube.com/channel/UCNbW80cX_mYoE1XaBAlVaTg</v>
      </c>
      <c r="U758" s="82"/>
      <c r="V758" s="82" t="s">
        <v>2375</v>
      </c>
      <c r="W758" s="87" t="str">
        <f t="shared" si="33"/>
        <v>https://www.youtube.com/watch?v=75c-kHKv0O4</v>
      </c>
      <c r="X758" s="82" t="s">
        <v>2384</v>
      </c>
      <c r="Y758" s="82">
        <v>0</v>
      </c>
      <c r="Z758" s="89">
        <v>45268.44516203704</v>
      </c>
      <c r="AA758" s="89">
        <v>45268.44516203704</v>
      </c>
      <c r="AB758" s="82"/>
      <c r="AC758" s="82"/>
      <c r="AD758" s="85" t="s">
        <v>2423</v>
      </c>
      <c r="AE758" s="84" t="str">
        <f>REPLACE(INDEX(GroupVertices[Group],MATCH("~"&amp;Edges[[#This Row],[Vertex 1]],GroupVertices[Vertex],0)),1,1,"")</f>
        <v>1</v>
      </c>
      <c r="AF758" s="84" t="str">
        <f>REPLACE(INDEX(GroupVertices[Group],MATCH("~"&amp;Edges[[#This Row],[Vertex 2]],GroupVertices[Vertex],0)),1,1,"")</f>
        <v>1</v>
      </c>
    </row>
    <row r="759" spans="1:32" ht="15">
      <c r="A759" s="66" t="s">
        <v>887</v>
      </c>
      <c r="B759" s="66" t="s">
        <v>907</v>
      </c>
      <c r="C759" s="67"/>
      <c r="D759" s="68"/>
      <c r="E759" s="69"/>
      <c r="F759" s="70"/>
      <c r="G759" s="67"/>
      <c r="H759" s="71"/>
      <c r="I759" s="72"/>
      <c r="J759" s="72"/>
      <c r="K759" s="35"/>
      <c r="L759" s="80">
        <v>759</v>
      </c>
      <c r="M759" s="80"/>
      <c r="N759" s="74"/>
      <c r="O759" s="82" t="s">
        <v>909</v>
      </c>
      <c r="P759" s="82" t="s">
        <v>197</v>
      </c>
      <c r="Q759" s="85" t="s">
        <v>1662</v>
      </c>
      <c r="R759" s="82" t="s">
        <v>887</v>
      </c>
      <c r="S759" s="82" t="s">
        <v>2353</v>
      </c>
      <c r="T759" s="87" t="str">
        <f>HYPERLINK("http://www.youtube.com/channel/UCQaCBwgxWpWVvIfTuGkbzqw")</f>
        <v>http://www.youtube.com/channel/UCQaCBwgxWpWVvIfTuGkbzqw</v>
      </c>
      <c r="U759" s="82"/>
      <c r="V759" s="82" t="s">
        <v>2375</v>
      </c>
      <c r="W759" s="87" t="str">
        <f t="shared" si="33"/>
        <v>https://www.youtube.com/watch?v=75c-kHKv0O4</v>
      </c>
      <c r="X759" s="82" t="s">
        <v>2384</v>
      </c>
      <c r="Y759" s="82">
        <v>0</v>
      </c>
      <c r="Z759" s="89">
        <v>45269.81780092593</v>
      </c>
      <c r="AA759" s="89">
        <v>45269.81780092593</v>
      </c>
      <c r="AB759" s="82"/>
      <c r="AC759" s="82"/>
      <c r="AD759" s="85" t="s">
        <v>2423</v>
      </c>
      <c r="AE759" s="84" t="str">
        <f>REPLACE(INDEX(GroupVertices[Group],MATCH("~"&amp;Edges[[#This Row],[Vertex 1]],GroupVertices[Vertex],0)),1,1,"")</f>
        <v>1</v>
      </c>
      <c r="AF759" s="84" t="str">
        <f>REPLACE(INDEX(GroupVertices[Group],MATCH("~"&amp;Edges[[#This Row],[Vertex 2]],GroupVertices[Vertex],0)),1,1,"")</f>
        <v>1</v>
      </c>
    </row>
    <row r="760" spans="1:32" ht="15">
      <c r="A760" s="66" t="s">
        <v>888</v>
      </c>
      <c r="B760" s="66" t="s">
        <v>907</v>
      </c>
      <c r="C760" s="67"/>
      <c r="D760" s="68"/>
      <c r="E760" s="69"/>
      <c r="F760" s="70"/>
      <c r="G760" s="67"/>
      <c r="H760" s="71"/>
      <c r="I760" s="72"/>
      <c r="J760" s="72"/>
      <c r="K760" s="35"/>
      <c r="L760" s="80">
        <v>760</v>
      </c>
      <c r="M760" s="80"/>
      <c r="N760" s="74"/>
      <c r="O760" s="82" t="s">
        <v>909</v>
      </c>
      <c r="P760" s="82" t="s">
        <v>197</v>
      </c>
      <c r="Q760" s="85" t="s">
        <v>1663</v>
      </c>
      <c r="R760" s="82" t="s">
        <v>888</v>
      </c>
      <c r="S760" s="82" t="s">
        <v>2354</v>
      </c>
      <c r="T760" s="87" t="str">
        <f>HYPERLINK("http://www.youtube.com/channel/UCkqlHZqGFGej9GHiUKLLhXw")</f>
        <v>http://www.youtube.com/channel/UCkqlHZqGFGej9GHiUKLLhXw</v>
      </c>
      <c r="U760" s="82"/>
      <c r="V760" s="82" t="s">
        <v>2375</v>
      </c>
      <c r="W760" s="87" t="str">
        <f t="shared" si="33"/>
        <v>https://www.youtube.com/watch?v=75c-kHKv0O4</v>
      </c>
      <c r="X760" s="82" t="s">
        <v>2384</v>
      </c>
      <c r="Y760" s="82">
        <v>0</v>
      </c>
      <c r="Z760" s="89">
        <v>45271.58256944444</v>
      </c>
      <c r="AA760" s="89">
        <v>45271.58256944444</v>
      </c>
      <c r="AB760" s="82"/>
      <c r="AC760" s="82"/>
      <c r="AD760" s="85" t="s">
        <v>2423</v>
      </c>
      <c r="AE760" s="84" t="str">
        <f>REPLACE(INDEX(GroupVertices[Group],MATCH("~"&amp;Edges[[#This Row],[Vertex 1]],GroupVertices[Vertex],0)),1,1,"")</f>
        <v>1</v>
      </c>
      <c r="AF760" s="84" t="str">
        <f>REPLACE(INDEX(GroupVertices[Group],MATCH("~"&amp;Edges[[#This Row],[Vertex 2]],GroupVertices[Vertex],0)),1,1,"")</f>
        <v>1</v>
      </c>
    </row>
    <row r="761" spans="1:32" ht="15">
      <c r="A761" s="66" t="s">
        <v>889</v>
      </c>
      <c r="B761" s="66" t="s">
        <v>907</v>
      </c>
      <c r="C761" s="67"/>
      <c r="D761" s="68"/>
      <c r="E761" s="69"/>
      <c r="F761" s="70"/>
      <c r="G761" s="67"/>
      <c r="H761" s="71"/>
      <c r="I761" s="72"/>
      <c r="J761" s="72"/>
      <c r="K761" s="35"/>
      <c r="L761" s="80">
        <v>761</v>
      </c>
      <c r="M761" s="80"/>
      <c r="N761" s="74"/>
      <c r="O761" s="82" t="s">
        <v>909</v>
      </c>
      <c r="P761" s="82" t="s">
        <v>197</v>
      </c>
      <c r="Q761" s="85" t="s">
        <v>1664</v>
      </c>
      <c r="R761" s="82" t="s">
        <v>889</v>
      </c>
      <c r="S761" s="82" t="s">
        <v>2355</v>
      </c>
      <c r="T761" s="87" t="str">
        <f>HYPERLINK("http://www.youtube.com/channel/UCbNWVsmivqNlYDfX-ETlNPw")</f>
        <v>http://www.youtube.com/channel/UCbNWVsmivqNlYDfX-ETlNPw</v>
      </c>
      <c r="U761" s="82"/>
      <c r="V761" s="82" t="s">
        <v>2375</v>
      </c>
      <c r="W761" s="87" t="str">
        <f t="shared" si="33"/>
        <v>https://www.youtube.com/watch?v=75c-kHKv0O4</v>
      </c>
      <c r="X761" s="82" t="s">
        <v>2384</v>
      </c>
      <c r="Y761" s="82">
        <v>0</v>
      </c>
      <c r="Z761" s="89">
        <v>45277.966886574075</v>
      </c>
      <c r="AA761" s="89">
        <v>45277.966886574075</v>
      </c>
      <c r="AB761" s="82"/>
      <c r="AC761" s="82"/>
      <c r="AD761" s="85" t="s">
        <v>2423</v>
      </c>
      <c r="AE761" s="84" t="str">
        <f>REPLACE(INDEX(GroupVertices[Group],MATCH("~"&amp;Edges[[#This Row],[Vertex 1]],GroupVertices[Vertex],0)),1,1,"")</f>
        <v>1</v>
      </c>
      <c r="AF761" s="84" t="str">
        <f>REPLACE(INDEX(GroupVertices[Group],MATCH("~"&amp;Edges[[#This Row],[Vertex 2]],GroupVertices[Vertex],0)),1,1,"")</f>
        <v>1</v>
      </c>
    </row>
    <row r="762" spans="1:32" ht="15">
      <c r="A762" s="66" t="s">
        <v>890</v>
      </c>
      <c r="B762" s="66" t="s">
        <v>907</v>
      </c>
      <c r="C762" s="67"/>
      <c r="D762" s="68"/>
      <c r="E762" s="69"/>
      <c r="F762" s="70"/>
      <c r="G762" s="67"/>
      <c r="H762" s="71"/>
      <c r="I762" s="72"/>
      <c r="J762" s="72"/>
      <c r="K762" s="35"/>
      <c r="L762" s="80">
        <v>762</v>
      </c>
      <c r="M762" s="80"/>
      <c r="N762" s="74"/>
      <c r="O762" s="82" t="s">
        <v>909</v>
      </c>
      <c r="P762" s="82" t="s">
        <v>197</v>
      </c>
      <c r="Q762" s="85" t="s">
        <v>1665</v>
      </c>
      <c r="R762" s="82" t="s">
        <v>890</v>
      </c>
      <c r="S762" s="82" t="s">
        <v>2356</v>
      </c>
      <c r="T762" s="87" t="str">
        <f>HYPERLINK("http://www.youtube.com/channel/UCKTdTw7SXOQBXOx5jI614dQ")</f>
        <v>http://www.youtube.com/channel/UCKTdTw7SXOQBXOx5jI614dQ</v>
      </c>
      <c r="U762" s="82"/>
      <c r="V762" s="82" t="s">
        <v>2375</v>
      </c>
      <c r="W762" s="87" t="str">
        <f t="shared" si="33"/>
        <v>https://www.youtube.com/watch?v=75c-kHKv0O4</v>
      </c>
      <c r="X762" s="82" t="s">
        <v>2384</v>
      </c>
      <c r="Y762" s="82">
        <v>0</v>
      </c>
      <c r="Z762" s="89">
        <v>45281.86452546297</v>
      </c>
      <c r="AA762" s="89">
        <v>45281.86452546297</v>
      </c>
      <c r="AB762" s="82"/>
      <c r="AC762" s="82"/>
      <c r="AD762" s="85" t="s">
        <v>2423</v>
      </c>
      <c r="AE762" s="84" t="str">
        <f>REPLACE(INDEX(GroupVertices[Group],MATCH("~"&amp;Edges[[#This Row],[Vertex 1]],GroupVertices[Vertex],0)),1,1,"")</f>
        <v>1</v>
      </c>
      <c r="AF762" s="84" t="str">
        <f>REPLACE(INDEX(GroupVertices[Group],MATCH("~"&amp;Edges[[#This Row],[Vertex 2]],GroupVertices[Vertex],0)),1,1,"")</f>
        <v>1</v>
      </c>
    </row>
    <row r="763" spans="1:32" ht="15">
      <c r="A763" s="66" t="s">
        <v>891</v>
      </c>
      <c r="B763" s="66" t="s">
        <v>907</v>
      </c>
      <c r="C763" s="67"/>
      <c r="D763" s="68"/>
      <c r="E763" s="69"/>
      <c r="F763" s="70"/>
      <c r="G763" s="67"/>
      <c r="H763" s="71"/>
      <c r="I763" s="72"/>
      <c r="J763" s="72"/>
      <c r="K763" s="35"/>
      <c r="L763" s="80">
        <v>763</v>
      </c>
      <c r="M763" s="80"/>
      <c r="N763" s="74"/>
      <c r="O763" s="82" t="s">
        <v>909</v>
      </c>
      <c r="P763" s="82" t="s">
        <v>197</v>
      </c>
      <c r="Q763" s="85" t="s">
        <v>1666</v>
      </c>
      <c r="R763" s="82" t="s">
        <v>891</v>
      </c>
      <c r="S763" s="82" t="s">
        <v>2357</v>
      </c>
      <c r="T763" s="87" t="str">
        <f>HYPERLINK("http://www.youtube.com/channel/UCME6PGnwyMRmV8iS_e1M2xA")</f>
        <v>http://www.youtube.com/channel/UCME6PGnwyMRmV8iS_e1M2xA</v>
      </c>
      <c r="U763" s="82"/>
      <c r="V763" s="82" t="s">
        <v>2375</v>
      </c>
      <c r="W763" s="87" t="str">
        <f t="shared" si="33"/>
        <v>https://www.youtube.com/watch?v=75c-kHKv0O4</v>
      </c>
      <c r="X763" s="82" t="s">
        <v>2384</v>
      </c>
      <c r="Y763" s="82">
        <v>0</v>
      </c>
      <c r="Z763" s="89">
        <v>45282.07503472222</v>
      </c>
      <c r="AA763" s="89">
        <v>45282.07503472222</v>
      </c>
      <c r="AB763" s="82"/>
      <c r="AC763" s="82"/>
      <c r="AD763" s="85" t="s">
        <v>2423</v>
      </c>
      <c r="AE763" s="84" t="str">
        <f>REPLACE(INDEX(GroupVertices[Group],MATCH("~"&amp;Edges[[#This Row],[Vertex 1]],GroupVertices[Vertex],0)),1,1,"")</f>
        <v>1</v>
      </c>
      <c r="AF763" s="84" t="str">
        <f>REPLACE(INDEX(GroupVertices[Group],MATCH("~"&amp;Edges[[#This Row],[Vertex 2]],GroupVertices[Vertex],0)),1,1,"")</f>
        <v>1</v>
      </c>
    </row>
    <row r="764" spans="1:32" ht="15">
      <c r="A764" s="66" t="s">
        <v>892</v>
      </c>
      <c r="B764" s="66" t="s">
        <v>907</v>
      </c>
      <c r="C764" s="67"/>
      <c r="D764" s="68"/>
      <c r="E764" s="69"/>
      <c r="F764" s="70"/>
      <c r="G764" s="67"/>
      <c r="H764" s="71"/>
      <c r="I764" s="72"/>
      <c r="J764" s="72"/>
      <c r="K764" s="35"/>
      <c r="L764" s="80">
        <v>764</v>
      </c>
      <c r="M764" s="80"/>
      <c r="N764" s="74"/>
      <c r="O764" s="82" t="s">
        <v>909</v>
      </c>
      <c r="P764" s="82" t="s">
        <v>197</v>
      </c>
      <c r="Q764" s="85" t="s">
        <v>1667</v>
      </c>
      <c r="R764" s="82" t="s">
        <v>892</v>
      </c>
      <c r="S764" s="82" t="s">
        <v>2358</v>
      </c>
      <c r="T764" s="87" t="str">
        <f>HYPERLINK("http://www.youtube.com/channel/UCCpCCi9vvNf1qBtHqoJs0vQ")</f>
        <v>http://www.youtube.com/channel/UCCpCCi9vvNf1qBtHqoJs0vQ</v>
      </c>
      <c r="U764" s="82"/>
      <c r="V764" s="82" t="s">
        <v>2375</v>
      </c>
      <c r="W764" s="87" t="str">
        <f t="shared" si="33"/>
        <v>https://www.youtube.com/watch?v=75c-kHKv0O4</v>
      </c>
      <c r="X764" s="82" t="s">
        <v>2384</v>
      </c>
      <c r="Y764" s="82">
        <v>0</v>
      </c>
      <c r="Z764" s="89">
        <v>45284.0509375</v>
      </c>
      <c r="AA764" s="89">
        <v>45284.0509375</v>
      </c>
      <c r="AB764" s="82"/>
      <c r="AC764" s="82"/>
      <c r="AD764" s="85" t="s">
        <v>2423</v>
      </c>
      <c r="AE764" s="84" t="str">
        <f>REPLACE(INDEX(GroupVertices[Group],MATCH("~"&amp;Edges[[#This Row],[Vertex 1]],GroupVertices[Vertex],0)),1,1,"")</f>
        <v>1</v>
      </c>
      <c r="AF764" s="84" t="str">
        <f>REPLACE(INDEX(GroupVertices[Group],MATCH("~"&amp;Edges[[#This Row],[Vertex 2]],GroupVertices[Vertex],0)),1,1,"")</f>
        <v>1</v>
      </c>
    </row>
    <row r="765" spans="1:32" ht="15">
      <c r="A765" s="66" t="s">
        <v>893</v>
      </c>
      <c r="B765" s="66" t="s">
        <v>907</v>
      </c>
      <c r="C765" s="67"/>
      <c r="D765" s="68"/>
      <c r="E765" s="69"/>
      <c r="F765" s="70"/>
      <c r="G765" s="67"/>
      <c r="H765" s="71"/>
      <c r="I765" s="72"/>
      <c r="J765" s="72"/>
      <c r="K765" s="35"/>
      <c r="L765" s="80">
        <v>765</v>
      </c>
      <c r="M765" s="80"/>
      <c r="N765" s="74"/>
      <c r="O765" s="82" t="s">
        <v>909</v>
      </c>
      <c r="P765" s="82" t="s">
        <v>197</v>
      </c>
      <c r="Q765" s="85" t="s">
        <v>1668</v>
      </c>
      <c r="R765" s="82" t="s">
        <v>893</v>
      </c>
      <c r="S765" s="82" t="s">
        <v>2359</v>
      </c>
      <c r="T765" s="87" t="str">
        <f>HYPERLINK("http://www.youtube.com/channel/UCXagPx6_DhXPr88XQ7s0HCg")</f>
        <v>http://www.youtube.com/channel/UCXagPx6_DhXPr88XQ7s0HCg</v>
      </c>
      <c r="U765" s="82"/>
      <c r="V765" s="82" t="s">
        <v>2375</v>
      </c>
      <c r="W765" s="87" t="str">
        <f t="shared" si="33"/>
        <v>https://www.youtube.com/watch?v=75c-kHKv0O4</v>
      </c>
      <c r="X765" s="82" t="s">
        <v>2384</v>
      </c>
      <c r="Y765" s="82">
        <v>0</v>
      </c>
      <c r="Z765" s="89">
        <v>45293.52792824074</v>
      </c>
      <c r="AA765" s="89">
        <v>45293.52792824074</v>
      </c>
      <c r="AB765" s="82"/>
      <c r="AC765" s="82"/>
      <c r="AD765" s="85" t="s">
        <v>2423</v>
      </c>
      <c r="AE765" s="84" t="str">
        <f>REPLACE(INDEX(GroupVertices[Group],MATCH("~"&amp;Edges[[#This Row],[Vertex 1]],GroupVertices[Vertex],0)),1,1,"")</f>
        <v>1</v>
      </c>
      <c r="AF765" s="84" t="str">
        <f>REPLACE(INDEX(GroupVertices[Group],MATCH("~"&amp;Edges[[#This Row],[Vertex 2]],GroupVertices[Vertex],0)),1,1,"")</f>
        <v>1</v>
      </c>
    </row>
    <row r="766" spans="1:32" ht="15">
      <c r="A766" s="66" t="s">
        <v>894</v>
      </c>
      <c r="B766" s="66" t="s">
        <v>907</v>
      </c>
      <c r="C766" s="67"/>
      <c r="D766" s="68"/>
      <c r="E766" s="69"/>
      <c r="F766" s="70"/>
      <c r="G766" s="67"/>
      <c r="H766" s="71"/>
      <c r="I766" s="72"/>
      <c r="J766" s="72"/>
      <c r="K766" s="35"/>
      <c r="L766" s="80">
        <v>766</v>
      </c>
      <c r="M766" s="80"/>
      <c r="N766" s="74"/>
      <c r="O766" s="82" t="s">
        <v>909</v>
      </c>
      <c r="P766" s="82" t="s">
        <v>197</v>
      </c>
      <c r="Q766" s="85" t="s">
        <v>1669</v>
      </c>
      <c r="R766" s="82" t="s">
        <v>894</v>
      </c>
      <c r="S766" s="82" t="s">
        <v>2360</v>
      </c>
      <c r="T766" s="87" t="str">
        <f>HYPERLINK("http://www.youtube.com/channel/UC6fNBA3mQFpqSFzPUkIfLXQ")</f>
        <v>http://www.youtube.com/channel/UC6fNBA3mQFpqSFzPUkIfLXQ</v>
      </c>
      <c r="U766" s="82"/>
      <c r="V766" s="82" t="s">
        <v>2370</v>
      </c>
      <c r="W766" s="87" t="str">
        <f>HYPERLINK("https://www.youtube.com/watch?v=yBF2fGUO5cQ")</f>
        <v>https://www.youtube.com/watch?v=yBF2fGUO5cQ</v>
      </c>
      <c r="X766" s="82" t="s">
        <v>2384</v>
      </c>
      <c r="Y766" s="82">
        <v>0</v>
      </c>
      <c r="Z766" s="89">
        <v>45299.06943287037</v>
      </c>
      <c r="AA766" s="89">
        <v>45299.06943287037</v>
      </c>
      <c r="AB766" s="82"/>
      <c r="AC766" s="82"/>
      <c r="AD766" s="85" t="s">
        <v>2423</v>
      </c>
      <c r="AE766" s="84" t="str">
        <f>REPLACE(INDEX(GroupVertices[Group],MATCH("~"&amp;Edges[[#This Row],[Vertex 1]],GroupVertices[Vertex],0)),1,1,"")</f>
        <v>1</v>
      </c>
      <c r="AF766" s="84" t="str">
        <f>REPLACE(INDEX(GroupVertices[Group],MATCH("~"&amp;Edges[[#This Row],[Vertex 2]],GroupVertices[Vertex],0)),1,1,"")</f>
        <v>1</v>
      </c>
    </row>
    <row r="767" spans="1:32" ht="15">
      <c r="A767" s="66" t="s">
        <v>894</v>
      </c>
      <c r="B767" s="66" t="s">
        <v>907</v>
      </c>
      <c r="C767" s="67"/>
      <c r="D767" s="68"/>
      <c r="E767" s="69"/>
      <c r="F767" s="70"/>
      <c r="G767" s="67"/>
      <c r="H767" s="71"/>
      <c r="I767" s="72"/>
      <c r="J767" s="72"/>
      <c r="K767" s="35"/>
      <c r="L767" s="80">
        <v>767</v>
      </c>
      <c r="M767" s="80"/>
      <c r="N767" s="74"/>
      <c r="O767" s="82" t="s">
        <v>909</v>
      </c>
      <c r="P767" s="82" t="s">
        <v>197</v>
      </c>
      <c r="Q767" s="85" t="s">
        <v>1670</v>
      </c>
      <c r="R767" s="82" t="s">
        <v>894</v>
      </c>
      <c r="S767" s="82" t="s">
        <v>2360</v>
      </c>
      <c r="T767" s="87" t="str">
        <f>HYPERLINK("http://www.youtube.com/channel/UC6fNBA3mQFpqSFzPUkIfLXQ")</f>
        <v>http://www.youtube.com/channel/UC6fNBA3mQFpqSFzPUkIfLXQ</v>
      </c>
      <c r="U767" s="82"/>
      <c r="V767" s="82" t="s">
        <v>2375</v>
      </c>
      <c r="W767" s="87" t="str">
        <f>HYPERLINK("https://www.youtube.com/watch?v=75c-kHKv0O4")</f>
        <v>https://www.youtube.com/watch?v=75c-kHKv0O4</v>
      </c>
      <c r="X767" s="82" t="s">
        <v>2384</v>
      </c>
      <c r="Y767" s="82">
        <v>0</v>
      </c>
      <c r="Z767" s="89">
        <v>45294.06196759259</v>
      </c>
      <c r="AA767" s="89">
        <v>45294.06196759259</v>
      </c>
      <c r="AB767" s="82"/>
      <c r="AC767" s="82"/>
      <c r="AD767" s="85" t="s">
        <v>2423</v>
      </c>
      <c r="AE767" s="84" t="str">
        <f>REPLACE(INDEX(GroupVertices[Group],MATCH("~"&amp;Edges[[#This Row],[Vertex 1]],GroupVertices[Vertex],0)),1,1,"")</f>
        <v>1</v>
      </c>
      <c r="AF767" s="84" t="str">
        <f>REPLACE(INDEX(GroupVertices[Group],MATCH("~"&amp;Edges[[#This Row],[Vertex 2]],GroupVertices[Vertex],0)),1,1,"")</f>
        <v>1</v>
      </c>
    </row>
    <row r="768" spans="1:32" ht="15">
      <c r="A768" s="66" t="s">
        <v>895</v>
      </c>
      <c r="B768" s="66" t="s">
        <v>907</v>
      </c>
      <c r="C768" s="67"/>
      <c r="D768" s="68"/>
      <c r="E768" s="69"/>
      <c r="F768" s="70"/>
      <c r="G768" s="67"/>
      <c r="H768" s="71"/>
      <c r="I768" s="72"/>
      <c r="J768" s="72"/>
      <c r="K768" s="35"/>
      <c r="L768" s="80">
        <v>768</v>
      </c>
      <c r="M768" s="80"/>
      <c r="N768" s="74"/>
      <c r="O768" s="82" t="s">
        <v>909</v>
      </c>
      <c r="P768" s="82" t="s">
        <v>197</v>
      </c>
      <c r="Q768" s="85" t="s">
        <v>1671</v>
      </c>
      <c r="R768" s="82" t="s">
        <v>895</v>
      </c>
      <c r="S768" s="82" t="s">
        <v>2361</v>
      </c>
      <c r="T768" s="87" t="str">
        <f>HYPERLINK("http://www.youtube.com/channel/UCU6PjgmvCNewxOvr7p7MsVQ")</f>
        <v>http://www.youtube.com/channel/UCU6PjgmvCNewxOvr7p7MsVQ</v>
      </c>
      <c r="U768" s="82"/>
      <c r="V768" s="82" t="s">
        <v>2375</v>
      </c>
      <c r="W768" s="87" t="str">
        <f>HYPERLINK("https://www.youtube.com/watch?v=75c-kHKv0O4")</f>
        <v>https://www.youtube.com/watch?v=75c-kHKv0O4</v>
      </c>
      <c r="X768" s="82" t="s">
        <v>2384</v>
      </c>
      <c r="Y768" s="82">
        <v>0</v>
      </c>
      <c r="Z768" s="89">
        <v>45295.36796296296</v>
      </c>
      <c r="AA768" s="89">
        <v>45295.36840277778</v>
      </c>
      <c r="AB768" s="82"/>
      <c r="AC768" s="82"/>
      <c r="AD768" s="85" t="s">
        <v>2423</v>
      </c>
      <c r="AE768" s="84" t="str">
        <f>REPLACE(INDEX(GroupVertices[Group],MATCH("~"&amp;Edges[[#This Row],[Vertex 1]],GroupVertices[Vertex],0)),1,1,"")</f>
        <v>1</v>
      </c>
      <c r="AF768" s="84" t="str">
        <f>REPLACE(INDEX(GroupVertices[Group],MATCH("~"&amp;Edges[[#This Row],[Vertex 2]],GroupVertices[Vertex],0)),1,1,"")</f>
        <v>1</v>
      </c>
    </row>
    <row r="769" spans="1:32" ht="15">
      <c r="A769" s="66" t="s">
        <v>896</v>
      </c>
      <c r="B769" s="66" t="s">
        <v>907</v>
      </c>
      <c r="C769" s="67"/>
      <c r="D769" s="68"/>
      <c r="E769" s="69"/>
      <c r="F769" s="70"/>
      <c r="G769" s="67"/>
      <c r="H769" s="71"/>
      <c r="I769" s="72"/>
      <c r="J769" s="72"/>
      <c r="K769" s="35"/>
      <c r="L769" s="80">
        <v>769</v>
      </c>
      <c r="M769" s="80"/>
      <c r="N769" s="74"/>
      <c r="O769" s="82" t="s">
        <v>909</v>
      </c>
      <c r="P769" s="82" t="s">
        <v>197</v>
      </c>
      <c r="Q769" s="85" t="s">
        <v>1672</v>
      </c>
      <c r="R769" s="82" t="s">
        <v>896</v>
      </c>
      <c r="S769" s="82" t="s">
        <v>2362</v>
      </c>
      <c r="T769" s="87" t="str">
        <f>HYPERLINK("http://www.youtube.com/channel/UCFIx14H8o7q9GrHMrNNLFhg")</f>
        <v>http://www.youtube.com/channel/UCFIx14H8o7q9GrHMrNNLFhg</v>
      </c>
      <c r="U769" s="82"/>
      <c r="V769" s="82" t="s">
        <v>2375</v>
      </c>
      <c r="W769" s="87" t="str">
        <f>HYPERLINK("https://www.youtube.com/watch?v=75c-kHKv0O4")</f>
        <v>https://www.youtube.com/watch?v=75c-kHKv0O4</v>
      </c>
      <c r="X769" s="82" t="s">
        <v>2384</v>
      </c>
      <c r="Y769" s="82">
        <v>0</v>
      </c>
      <c r="Z769" s="89">
        <v>45299.54126157407</v>
      </c>
      <c r="AA769" s="89">
        <v>45299.54126157407</v>
      </c>
      <c r="AB769" s="82"/>
      <c r="AC769" s="82"/>
      <c r="AD769" s="85" t="s">
        <v>2423</v>
      </c>
      <c r="AE769" s="84" t="str">
        <f>REPLACE(INDEX(GroupVertices[Group],MATCH("~"&amp;Edges[[#This Row],[Vertex 1]],GroupVertices[Vertex],0)),1,1,"")</f>
        <v>1</v>
      </c>
      <c r="AF769" s="84" t="str">
        <f>REPLACE(INDEX(GroupVertices[Group],MATCH("~"&amp;Edges[[#This Row],[Vertex 2]],GroupVertices[Vertex],0)),1,1,"")</f>
        <v>1</v>
      </c>
    </row>
    <row r="770" spans="1:32" ht="15">
      <c r="A770" s="66" t="s">
        <v>897</v>
      </c>
      <c r="B770" s="66" t="s">
        <v>905</v>
      </c>
      <c r="C770" s="67"/>
      <c r="D770" s="68"/>
      <c r="E770" s="69"/>
      <c r="F770" s="70"/>
      <c r="G770" s="67"/>
      <c r="H770" s="71"/>
      <c r="I770" s="72"/>
      <c r="J770" s="72"/>
      <c r="K770" s="35"/>
      <c r="L770" s="80">
        <v>770</v>
      </c>
      <c r="M770" s="80"/>
      <c r="N770" s="74"/>
      <c r="O770" s="82" t="s">
        <v>909</v>
      </c>
      <c r="P770" s="82" t="s">
        <v>197</v>
      </c>
      <c r="Q770" s="85" t="s">
        <v>1673</v>
      </c>
      <c r="R770" s="82" t="s">
        <v>897</v>
      </c>
      <c r="S770" s="82" t="s">
        <v>2363</v>
      </c>
      <c r="T770" s="87" t="str">
        <f>HYPERLINK("http://www.youtube.com/channel/UCBP3JmPkgV1yAQFT6au4u3A")</f>
        <v>http://www.youtube.com/channel/UCBP3JmPkgV1yAQFT6au4u3A</v>
      </c>
      <c r="U770" s="82"/>
      <c r="V770" s="82" t="s">
        <v>2373</v>
      </c>
      <c r="W770" s="87" t="str">
        <f>HYPERLINK("https://www.youtube.com/watch?v=za6dE5JrNB0")</f>
        <v>https://www.youtube.com/watch?v=za6dE5JrNB0</v>
      </c>
      <c r="X770" s="82" t="s">
        <v>2384</v>
      </c>
      <c r="Y770" s="82">
        <v>0</v>
      </c>
      <c r="Z770" s="89">
        <v>45303.00303240741</v>
      </c>
      <c r="AA770" s="89">
        <v>45303.00303240741</v>
      </c>
      <c r="AB770" s="82"/>
      <c r="AC770" s="82"/>
      <c r="AD770" s="85" t="s">
        <v>2423</v>
      </c>
      <c r="AE770" s="84" t="str">
        <f>REPLACE(INDEX(GroupVertices[Group],MATCH("~"&amp;Edges[[#This Row],[Vertex 1]],GroupVertices[Vertex],0)),1,1,"")</f>
        <v>2</v>
      </c>
      <c r="AF770" s="84" t="str">
        <f>REPLACE(INDEX(GroupVertices[Group],MATCH("~"&amp;Edges[[#This Row],[Vertex 2]],GroupVertices[Vertex],0)),1,1,"")</f>
        <v>2</v>
      </c>
    </row>
    <row r="771" spans="1:32" ht="15">
      <c r="A771" s="66" t="s">
        <v>897</v>
      </c>
      <c r="B771" s="66" t="s">
        <v>907</v>
      </c>
      <c r="C771" s="67"/>
      <c r="D771" s="68"/>
      <c r="E771" s="69"/>
      <c r="F771" s="70"/>
      <c r="G771" s="67"/>
      <c r="H771" s="71"/>
      <c r="I771" s="72"/>
      <c r="J771" s="72"/>
      <c r="K771" s="35"/>
      <c r="L771" s="80">
        <v>771</v>
      </c>
      <c r="M771" s="80"/>
      <c r="N771" s="74"/>
      <c r="O771" s="82" t="s">
        <v>909</v>
      </c>
      <c r="P771" s="82" t="s">
        <v>197</v>
      </c>
      <c r="Q771" s="85" t="s">
        <v>1674</v>
      </c>
      <c r="R771" s="82" t="s">
        <v>897</v>
      </c>
      <c r="S771" s="82" t="s">
        <v>2363</v>
      </c>
      <c r="T771" s="87" t="str">
        <f>HYPERLINK("http://www.youtube.com/channel/UCBP3JmPkgV1yAQFT6au4u3A")</f>
        <v>http://www.youtube.com/channel/UCBP3JmPkgV1yAQFT6au4u3A</v>
      </c>
      <c r="U771" s="82"/>
      <c r="V771" s="82" t="s">
        <v>2375</v>
      </c>
      <c r="W771" s="87" t="str">
        <f>HYPERLINK("https://www.youtube.com/watch?v=75c-kHKv0O4")</f>
        <v>https://www.youtube.com/watch?v=75c-kHKv0O4</v>
      </c>
      <c r="X771" s="82" t="s">
        <v>2384</v>
      </c>
      <c r="Y771" s="82">
        <v>0</v>
      </c>
      <c r="Z771" s="89">
        <v>45303.078206018516</v>
      </c>
      <c r="AA771" s="89">
        <v>45303.078206018516</v>
      </c>
      <c r="AB771" s="82"/>
      <c r="AC771" s="82"/>
      <c r="AD771" s="85" t="s">
        <v>2423</v>
      </c>
      <c r="AE771" s="84" t="str">
        <f>REPLACE(INDEX(GroupVertices[Group],MATCH("~"&amp;Edges[[#This Row],[Vertex 1]],GroupVertices[Vertex],0)),1,1,"")</f>
        <v>2</v>
      </c>
      <c r="AF771" s="84" t="str">
        <f>REPLACE(INDEX(GroupVertices[Group],MATCH("~"&amp;Edges[[#This Row],[Vertex 2]],GroupVertices[Vertex],0)),1,1,"")</f>
        <v>1</v>
      </c>
    </row>
    <row r="772" spans="1:32" ht="15">
      <c r="A772" s="66" t="s">
        <v>898</v>
      </c>
      <c r="B772" s="66" t="s">
        <v>907</v>
      </c>
      <c r="C772" s="67"/>
      <c r="D772" s="68"/>
      <c r="E772" s="69"/>
      <c r="F772" s="70"/>
      <c r="G772" s="67"/>
      <c r="H772" s="71"/>
      <c r="I772" s="72"/>
      <c r="J772" s="72"/>
      <c r="K772" s="35"/>
      <c r="L772" s="80">
        <v>772</v>
      </c>
      <c r="M772" s="80"/>
      <c r="N772" s="74"/>
      <c r="O772" s="82" t="s">
        <v>909</v>
      </c>
      <c r="P772" s="82" t="s">
        <v>197</v>
      </c>
      <c r="Q772" s="85" t="s">
        <v>1675</v>
      </c>
      <c r="R772" s="82" t="s">
        <v>898</v>
      </c>
      <c r="S772" s="82" t="s">
        <v>2364</v>
      </c>
      <c r="T772" s="87" t="str">
        <f>HYPERLINK("http://www.youtube.com/channel/UCs2q54e3wazWqkkL2-jhaAw")</f>
        <v>http://www.youtube.com/channel/UCs2q54e3wazWqkkL2-jhaAw</v>
      </c>
      <c r="U772" s="82"/>
      <c r="V772" s="82" t="s">
        <v>2375</v>
      </c>
      <c r="W772" s="87" t="str">
        <f>HYPERLINK("https://www.youtube.com/watch?v=75c-kHKv0O4")</f>
        <v>https://www.youtube.com/watch?v=75c-kHKv0O4</v>
      </c>
      <c r="X772" s="82" t="s">
        <v>2384</v>
      </c>
      <c r="Y772" s="82">
        <v>0</v>
      </c>
      <c r="Z772" s="89">
        <v>45307.953148148146</v>
      </c>
      <c r="AA772" s="89">
        <v>45307.953148148146</v>
      </c>
      <c r="AB772" s="82"/>
      <c r="AC772" s="82"/>
      <c r="AD772" s="85" t="s">
        <v>2423</v>
      </c>
      <c r="AE772" s="84" t="str">
        <f>REPLACE(INDEX(GroupVertices[Group],MATCH("~"&amp;Edges[[#This Row],[Vertex 1]],GroupVertices[Vertex],0)),1,1,"")</f>
        <v>1</v>
      </c>
      <c r="AF772" s="84" t="str">
        <f>REPLACE(INDEX(GroupVertices[Group],MATCH("~"&amp;Edges[[#This Row],[Vertex 2]],GroupVertices[Vertex],0)),1,1,"")</f>
        <v>1</v>
      </c>
    </row>
    <row r="773" spans="1:32" ht="15">
      <c r="A773" s="66" t="s">
        <v>899</v>
      </c>
      <c r="B773" s="66" t="s">
        <v>899</v>
      </c>
      <c r="C773" s="67"/>
      <c r="D773" s="68"/>
      <c r="E773" s="69"/>
      <c r="F773" s="70"/>
      <c r="G773" s="67"/>
      <c r="H773" s="71"/>
      <c r="I773" s="72"/>
      <c r="J773" s="72"/>
      <c r="K773" s="35"/>
      <c r="L773" s="80">
        <v>773</v>
      </c>
      <c r="M773" s="80"/>
      <c r="N773" s="74"/>
      <c r="O773" s="82" t="s">
        <v>910</v>
      </c>
      <c r="P773" s="82"/>
      <c r="Q773" s="82"/>
      <c r="R773" s="82"/>
      <c r="S773" s="82"/>
      <c r="T773" s="82"/>
      <c r="U773" s="82"/>
      <c r="V773" s="82" t="s">
        <v>2366</v>
      </c>
      <c r="W773" s="87" t="str">
        <f>HYPERLINK("https://www.youtube.com/watch?v=sgOEGKDVvsg")</f>
        <v>https://www.youtube.com/watch?v=sgOEGKDVvsg</v>
      </c>
      <c r="X773" s="82"/>
      <c r="Y773" s="82"/>
      <c r="Z773" s="89">
        <v>44943.01542824074</v>
      </c>
      <c r="AA773" s="82"/>
      <c r="AB773" s="82"/>
      <c r="AC773" s="82"/>
      <c r="AD773" s="82"/>
      <c r="AE773" s="81" t="str">
        <f>REPLACE(INDEX(GroupVertices[Group],MATCH("~"&amp;Edges[[#This Row],[Vertex 1]],GroupVertices[Vertex],0)),1,1,"")</f>
        <v>7</v>
      </c>
      <c r="AF773" s="81" t="str">
        <f>REPLACE(INDEX(GroupVertices[Group],MATCH("~"&amp;Edges[[#This Row],[Vertex 2]],GroupVertices[Vertex],0)),1,1,"")</f>
        <v>7</v>
      </c>
    </row>
    <row r="774" spans="1:32" ht="15">
      <c r="A774" s="66" t="s">
        <v>900</v>
      </c>
      <c r="B774" s="66" t="s">
        <v>900</v>
      </c>
      <c r="C774" s="67"/>
      <c r="D774" s="68"/>
      <c r="E774" s="69"/>
      <c r="F774" s="70"/>
      <c r="G774" s="67"/>
      <c r="H774" s="71"/>
      <c r="I774" s="72"/>
      <c r="J774" s="72"/>
      <c r="K774" s="35"/>
      <c r="L774" s="80">
        <v>774</v>
      </c>
      <c r="M774" s="80"/>
      <c r="N774" s="74"/>
      <c r="O774" s="82" t="s">
        <v>910</v>
      </c>
      <c r="P774" s="82"/>
      <c r="Q774" s="82"/>
      <c r="R774" s="82"/>
      <c r="S774" s="82"/>
      <c r="T774" s="82"/>
      <c r="U774" s="82"/>
      <c r="V774" s="82" t="s">
        <v>2367</v>
      </c>
      <c r="W774" s="87" t="str">
        <f>HYPERLINK("https://www.youtube.com/watch?v=AMOoO0p0Tbw")</f>
        <v>https://www.youtube.com/watch?v=AMOoO0p0Tbw</v>
      </c>
      <c r="X774" s="82"/>
      <c r="Y774" s="82"/>
      <c r="Z774" s="89">
        <v>45310.166863425926</v>
      </c>
      <c r="AA774" s="82"/>
      <c r="AB774" s="82"/>
      <c r="AC774" s="82"/>
      <c r="AD774" s="82"/>
      <c r="AE774" s="81" t="str">
        <f>REPLACE(INDEX(GroupVertices[Group],MATCH("~"&amp;Edges[[#This Row],[Vertex 1]],GroupVertices[Vertex],0)),1,1,"")</f>
        <v>9</v>
      </c>
      <c r="AF774" s="81" t="str">
        <f>REPLACE(INDEX(GroupVertices[Group],MATCH("~"&amp;Edges[[#This Row],[Vertex 2]],GroupVertices[Vertex],0)),1,1,"")</f>
        <v>9</v>
      </c>
    </row>
    <row r="775" spans="1:32" ht="15">
      <c r="A775" s="66" t="s">
        <v>901</v>
      </c>
      <c r="B775" s="66" t="s">
        <v>901</v>
      </c>
      <c r="C775" s="67"/>
      <c r="D775" s="68"/>
      <c r="E775" s="69"/>
      <c r="F775" s="70"/>
      <c r="G775" s="67"/>
      <c r="H775" s="71"/>
      <c r="I775" s="72"/>
      <c r="J775" s="72"/>
      <c r="K775" s="35"/>
      <c r="L775" s="80">
        <v>775</v>
      </c>
      <c r="M775" s="80"/>
      <c r="N775" s="74"/>
      <c r="O775" s="82" t="s">
        <v>910</v>
      </c>
      <c r="P775" s="82"/>
      <c r="Q775" s="82"/>
      <c r="R775" s="82"/>
      <c r="S775" s="82"/>
      <c r="T775" s="82"/>
      <c r="U775" s="82"/>
      <c r="V775" s="82" t="s">
        <v>2368</v>
      </c>
      <c r="W775" s="87" t="str">
        <f>HYPERLINK("https://www.youtube.com/watch?v=gLvkWpnzba8")</f>
        <v>https://www.youtube.com/watch?v=gLvkWpnzba8</v>
      </c>
      <c r="X775" s="82"/>
      <c r="Y775" s="82"/>
      <c r="Z775" s="89">
        <v>45250.8341087963</v>
      </c>
      <c r="AA775" s="82"/>
      <c r="AB775" s="82"/>
      <c r="AC775" s="82"/>
      <c r="AD775" s="82"/>
      <c r="AE775" s="81" t="str">
        <f>REPLACE(INDEX(GroupVertices[Group],MATCH("~"&amp;Edges[[#This Row],[Vertex 1]],GroupVertices[Vertex],0)),1,1,"")</f>
        <v>6</v>
      </c>
      <c r="AF775" s="81" t="str">
        <f>REPLACE(INDEX(GroupVertices[Group],MATCH("~"&amp;Edges[[#This Row],[Vertex 2]],GroupVertices[Vertex],0)),1,1,"")</f>
        <v>6</v>
      </c>
    </row>
    <row r="776" spans="1:32" ht="15">
      <c r="A776" s="66" t="s">
        <v>902</v>
      </c>
      <c r="B776" s="66" t="s">
        <v>902</v>
      </c>
      <c r="C776" s="67"/>
      <c r="D776" s="68"/>
      <c r="E776" s="69"/>
      <c r="F776" s="70"/>
      <c r="G776" s="67"/>
      <c r="H776" s="71"/>
      <c r="I776" s="72"/>
      <c r="J776" s="72"/>
      <c r="K776" s="35"/>
      <c r="L776" s="80">
        <v>776</v>
      </c>
      <c r="M776" s="80"/>
      <c r="N776" s="74"/>
      <c r="O776" s="82" t="s">
        <v>910</v>
      </c>
      <c r="P776" s="82"/>
      <c r="Q776" s="82"/>
      <c r="R776" s="82"/>
      <c r="S776" s="82"/>
      <c r="T776" s="82"/>
      <c r="U776" s="82"/>
      <c r="V776" s="82" t="s">
        <v>2369</v>
      </c>
      <c r="W776" s="87" t="str">
        <f>HYPERLINK("https://www.youtube.com/watch?v=E39neWnw9AA")</f>
        <v>https://www.youtube.com/watch?v=E39neWnw9AA</v>
      </c>
      <c r="X776" s="82"/>
      <c r="Y776" s="82"/>
      <c r="Z776" s="89">
        <v>45253.9168287037</v>
      </c>
      <c r="AA776" s="82"/>
      <c r="AB776" s="82"/>
      <c r="AC776" s="82"/>
      <c r="AD776" s="82"/>
      <c r="AE776" s="81" t="str">
        <f>REPLACE(INDEX(GroupVertices[Group],MATCH("~"&amp;Edges[[#This Row],[Vertex 1]],GroupVertices[Vertex],0)),1,1,"")</f>
        <v>4</v>
      </c>
      <c r="AF776" s="81" t="str">
        <f>REPLACE(INDEX(GroupVertices[Group],MATCH("~"&amp;Edges[[#This Row],[Vertex 2]],GroupVertices[Vertex],0)),1,1,"")</f>
        <v>4</v>
      </c>
    </row>
    <row r="777" spans="1:32" ht="15">
      <c r="A777" s="66" t="s">
        <v>903</v>
      </c>
      <c r="B777" s="66" t="s">
        <v>903</v>
      </c>
      <c r="C777" s="67"/>
      <c r="D777" s="68"/>
      <c r="E777" s="69"/>
      <c r="F777" s="70"/>
      <c r="G777" s="67"/>
      <c r="H777" s="71"/>
      <c r="I777" s="72"/>
      <c r="J777" s="72"/>
      <c r="K777" s="35"/>
      <c r="L777" s="80">
        <v>777</v>
      </c>
      <c r="M777" s="80"/>
      <c r="N777" s="74"/>
      <c r="O777" s="82" t="s">
        <v>910</v>
      </c>
      <c r="P777" s="82"/>
      <c r="Q777" s="82"/>
      <c r="R777" s="82"/>
      <c r="S777" s="82"/>
      <c r="T777" s="82"/>
      <c r="U777" s="82"/>
      <c r="V777" s="82" t="s">
        <v>2371</v>
      </c>
      <c r="W777" s="87" t="str">
        <f>HYPERLINK("https://www.youtube.com/watch?v=FdMiVnA6Az0")</f>
        <v>https://www.youtube.com/watch?v=FdMiVnA6Az0</v>
      </c>
      <c r="X777" s="82"/>
      <c r="Y777" s="82"/>
      <c r="Z777" s="89">
        <v>45236.0346412037</v>
      </c>
      <c r="AA777" s="82"/>
      <c r="AB777" s="82"/>
      <c r="AC777" s="82"/>
      <c r="AD777" s="82"/>
      <c r="AE777" s="81" t="str">
        <f>REPLACE(INDEX(GroupVertices[Group],MATCH("~"&amp;Edges[[#This Row],[Vertex 1]],GroupVertices[Vertex],0)),1,1,"")</f>
        <v>3</v>
      </c>
      <c r="AF777" s="81" t="str">
        <f>REPLACE(INDEX(GroupVertices[Group],MATCH("~"&amp;Edges[[#This Row],[Vertex 2]],GroupVertices[Vertex],0)),1,1,"")</f>
        <v>3</v>
      </c>
    </row>
    <row r="778" spans="1:32" ht="15">
      <c r="A778" s="66" t="s">
        <v>904</v>
      </c>
      <c r="B778" s="66" t="s">
        <v>904</v>
      </c>
      <c r="C778" s="67"/>
      <c r="D778" s="68"/>
      <c r="E778" s="69"/>
      <c r="F778" s="70"/>
      <c r="G778" s="67"/>
      <c r="H778" s="71"/>
      <c r="I778" s="72"/>
      <c r="J778" s="72"/>
      <c r="K778" s="35"/>
      <c r="L778" s="80">
        <v>778</v>
      </c>
      <c r="M778" s="80"/>
      <c r="N778" s="74"/>
      <c r="O778" s="82" t="s">
        <v>910</v>
      </c>
      <c r="P778" s="82"/>
      <c r="Q778" s="82"/>
      <c r="R778" s="82"/>
      <c r="S778" s="82"/>
      <c r="T778" s="82"/>
      <c r="U778" s="82"/>
      <c r="V778" s="82" t="s">
        <v>2372</v>
      </c>
      <c r="W778" s="87" t="str">
        <f>HYPERLINK("https://www.youtube.com/watch?v=U2dUwmXMLpw")</f>
        <v>https://www.youtube.com/watch?v=U2dUwmXMLpw</v>
      </c>
      <c r="X778" s="82"/>
      <c r="Y778" s="82"/>
      <c r="Z778" s="89">
        <v>42906.6880787037</v>
      </c>
      <c r="AA778" s="82"/>
      <c r="AB778" s="82"/>
      <c r="AC778" s="82"/>
      <c r="AD778" s="82"/>
      <c r="AE778" s="81" t="str">
        <f>REPLACE(INDEX(GroupVertices[Group],MATCH("~"&amp;Edges[[#This Row],[Vertex 1]],GroupVertices[Vertex],0)),1,1,"")</f>
        <v>8</v>
      </c>
      <c r="AF778" s="81" t="str">
        <f>REPLACE(INDEX(GroupVertices[Group],MATCH("~"&amp;Edges[[#This Row],[Vertex 2]],GroupVertices[Vertex],0)),1,1,"")</f>
        <v>8</v>
      </c>
    </row>
    <row r="779" spans="1:32" ht="15">
      <c r="A779" s="66" t="s">
        <v>905</v>
      </c>
      <c r="B779" s="66" t="s">
        <v>905</v>
      </c>
      <c r="C779" s="67"/>
      <c r="D779" s="68"/>
      <c r="E779" s="69"/>
      <c r="F779" s="70"/>
      <c r="G779" s="67"/>
      <c r="H779" s="71"/>
      <c r="I779" s="72"/>
      <c r="J779" s="72"/>
      <c r="K779" s="35"/>
      <c r="L779" s="80">
        <v>779</v>
      </c>
      <c r="M779" s="80"/>
      <c r="N779" s="74"/>
      <c r="O779" s="82" t="s">
        <v>910</v>
      </c>
      <c r="P779" s="82"/>
      <c r="Q779" s="82"/>
      <c r="R779" s="82"/>
      <c r="S779" s="82"/>
      <c r="T779" s="82"/>
      <c r="U779" s="82"/>
      <c r="V779" s="82" t="s">
        <v>2376</v>
      </c>
      <c r="W779" s="87" t="str">
        <f>HYPERLINK("https://www.youtube.com/watch?v=Pgq_CODucg0")</f>
        <v>https://www.youtube.com/watch?v=Pgq_CODucg0</v>
      </c>
      <c r="X779" s="82"/>
      <c r="Y779" s="82"/>
      <c r="Z779" s="89">
        <v>44151.87365740741</v>
      </c>
      <c r="AA779" s="82"/>
      <c r="AB779" s="82"/>
      <c r="AC779" s="82"/>
      <c r="AD779" s="82"/>
      <c r="AE779" s="81" t="str">
        <f>REPLACE(INDEX(GroupVertices[Group],MATCH("~"&amp;Edges[[#This Row],[Vertex 1]],GroupVertices[Vertex],0)),1,1,"")</f>
        <v>2</v>
      </c>
      <c r="AF779" s="81" t="str">
        <f>REPLACE(INDEX(GroupVertices[Group],MATCH("~"&amp;Edges[[#This Row],[Vertex 2]],GroupVertices[Vertex],0)),1,1,"")</f>
        <v>2</v>
      </c>
    </row>
    <row r="780" spans="1:32" ht="15">
      <c r="A780" s="66" t="s">
        <v>905</v>
      </c>
      <c r="B780" s="66" t="s">
        <v>905</v>
      </c>
      <c r="C780" s="67"/>
      <c r="D780" s="68"/>
      <c r="E780" s="69"/>
      <c r="F780" s="70"/>
      <c r="G780" s="67"/>
      <c r="H780" s="71"/>
      <c r="I780" s="72"/>
      <c r="J780" s="72"/>
      <c r="K780" s="35"/>
      <c r="L780" s="80">
        <v>780</v>
      </c>
      <c r="M780" s="80"/>
      <c r="N780" s="74"/>
      <c r="O780" s="82" t="s">
        <v>910</v>
      </c>
      <c r="P780" s="82"/>
      <c r="Q780" s="82"/>
      <c r="R780" s="82"/>
      <c r="S780" s="82"/>
      <c r="T780" s="82"/>
      <c r="U780" s="82"/>
      <c r="V780" s="82" t="s">
        <v>2377</v>
      </c>
      <c r="W780" s="87" t="str">
        <f>HYPERLINK("https://www.youtube.com/watch?v=EAU5D8hqIUI")</f>
        <v>https://www.youtube.com/watch?v=EAU5D8hqIUI</v>
      </c>
      <c r="X780" s="82"/>
      <c r="Y780" s="82"/>
      <c r="Z780" s="89">
        <v>45026.750127314815</v>
      </c>
      <c r="AA780" s="82"/>
      <c r="AB780" s="82"/>
      <c r="AC780" s="82"/>
      <c r="AD780" s="82"/>
      <c r="AE780" s="81" t="str">
        <f>REPLACE(INDEX(GroupVertices[Group],MATCH("~"&amp;Edges[[#This Row],[Vertex 1]],GroupVertices[Vertex],0)),1,1,"")</f>
        <v>2</v>
      </c>
      <c r="AF780" s="81" t="str">
        <f>REPLACE(INDEX(GroupVertices[Group],MATCH("~"&amp;Edges[[#This Row],[Vertex 2]],GroupVertices[Vertex],0)),1,1,"")</f>
        <v>2</v>
      </c>
    </row>
    <row r="781" spans="1:32" ht="15">
      <c r="A781" s="66" t="s">
        <v>905</v>
      </c>
      <c r="B781" s="66" t="s">
        <v>905</v>
      </c>
      <c r="C781" s="67"/>
      <c r="D781" s="68"/>
      <c r="E781" s="69"/>
      <c r="F781" s="70"/>
      <c r="G781" s="67"/>
      <c r="H781" s="71"/>
      <c r="I781" s="72"/>
      <c r="J781" s="72"/>
      <c r="K781" s="35"/>
      <c r="L781" s="80">
        <v>781</v>
      </c>
      <c r="M781" s="80"/>
      <c r="N781" s="74"/>
      <c r="O781" s="82" t="s">
        <v>910</v>
      </c>
      <c r="P781" s="82"/>
      <c r="Q781" s="82"/>
      <c r="R781" s="82"/>
      <c r="S781" s="82"/>
      <c r="T781" s="82"/>
      <c r="U781" s="82"/>
      <c r="V781" s="82" t="s">
        <v>2373</v>
      </c>
      <c r="W781" s="87" t="str">
        <f>HYPERLINK("https://www.youtube.com/watch?v=za6dE5JrNB0")</f>
        <v>https://www.youtube.com/watch?v=za6dE5JrNB0</v>
      </c>
      <c r="X781" s="82"/>
      <c r="Y781" s="82"/>
      <c r="Z781" s="89">
        <v>44792.95888888889</v>
      </c>
      <c r="AA781" s="82"/>
      <c r="AB781" s="82"/>
      <c r="AC781" s="82"/>
      <c r="AD781" s="82"/>
      <c r="AE781" s="81" t="str">
        <f>REPLACE(INDEX(GroupVertices[Group],MATCH("~"&amp;Edges[[#This Row],[Vertex 1]],GroupVertices[Vertex],0)),1,1,"")</f>
        <v>2</v>
      </c>
      <c r="AF781" s="81" t="str">
        <f>REPLACE(INDEX(GroupVertices[Group],MATCH("~"&amp;Edges[[#This Row],[Vertex 2]],GroupVertices[Vertex],0)),1,1,"")</f>
        <v>2</v>
      </c>
    </row>
    <row r="782" spans="1:32" ht="15">
      <c r="A782" s="66" t="s">
        <v>906</v>
      </c>
      <c r="B782" s="66" t="s">
        <v>906</v>
      </c>
      <c r="C782" s="67"/>
      <c r="D782" s="68"/>
      <c r="E782" s="69"/>
      <c r="F782" s="70"/>
      <c r="G782" s="67"/>
      <c r="H782" s="71"/>
      <c r="I782" s="72"/>
      <c r="J782" s="72"/>
      <c r="K782" s="35"/>
      <c r="L782" s="80">
        <v>782</v>
      </c>
      <c r="M782" s="80"/>
      <c r="N782" s="74"/>
      <c r="O782" s="82" t="s">
        <v>910</v>
      </c>
      <c r="P782" s="82"/>
      <c r="Q782" s="82"/>
      <c r="R782" s="82"/>
      <c r="S782" s="82"/>
      <c r="T782" s="82"/>
      <c r="U782" s="82"/>
      <c r="V782" s="82" t="s">
        <v>2378</v>
      </c>
      <c r="W782" s="87" t="str">
        <f>HYPERLINK("https://www.youtube.com/watch?v=0Q2IW7UEclI")</f>
        <v>https://www.youtube.com/watch?v=0Q2IW7UEclI</v>
      </c>
      <c r="X782" s="82"/>
      <c r="Y782" s="82"/>
      <c r="Z782" s="89">
        <v>45126.958344907405</v>
      </c>
      <c r="AA782" s="82"/>
      <c r="AB782" s="82"/>
      <c r="AC782" s="82"/>
      <c r="AD782" s="82"/>
      <c r="AE782" s="81" t="str">
        <f>REPLACE(INDEX(GroupVertices[Group],MATCH("~"&amp;Edges[[#This Row],[Vertex 1]],GroupVertices[Vertex],0)),1,1,"")</f>
        <v>5</v>
      </c>
      <c r="AF782" s="81" t="str">
        <f>REPLACE(INDEX(GroupVertices[Group],MATCH("~"&amp;Edges[[#This Row],[Vertex 2]],GroupVertices[Vertex],0)),1,1,"")</f>
        <v>5</v>
      </c>
    </row>
    <row r="783" spans="1:32" ht="15">
      <c r="A783" s="66" t="s">
        <v>906</v>
      </c>
      <c r="B783" s="66" t="s">
        <v>906</v>
      </c>
      <c r="C783" s="67"/>
      <c r="D783" s="68"/>
      <c r="E783" s="69"/>
      <c r="F783" s="70"/>
      <c r="G783" s="67"/>
      <c r="H783" s="71"/>
      <c r="I783" s="72"/>
      <c r="J783" s="72"/>
      <c r="K783" s="35"/>
      <c r="L783" s="80">
        <v>783</v>
      </c>
      <c r="M783" s="80"/>
      <c r="N783" s="74"/>
      <c r="O783" s="82" t="s">
        <v>910</v>
      </c>
      <c r="P783" s="82"/>
      <c r="Q783" s="82"/>
      <c r="R783" s="82"/>
      <c r="S783" s="82"/>
      <c r="T783" s="82"/>
      <c r="U783" s="82"/>
      <c r="V783" s="82" t="s">
        <v>2379</v>
      </c>
      <c r="W783" s="87" t="str">
        <f>HYPERLINK("https://www.youtube.com/watch?v=VWRcjEbcNVQ")</f>
        <v>https://www.youtube.com/watch?v=VWRcjEbcNVQ</v>
      </c>
      <c r="X783" s="82"/>
      <c r="Y783" s="82"/>
      <c r="Z783" s="89">
        <v>44662.95863425926</v>
      </c>
      <c r="AA783" s="82"/>
      <c r="AB783" s="82"/>
      <c r="AC783" s="82"/>
      <c r="AD783" s="82"/>
      <c r="AE783" s="81" t="str">
        <f>REPLACE(INDEX(GroupVertices[Group],MATCH("~"&amp;Edges[[#This Row],[Vertex 1]],GroupVertices[Vertex],0)),1,1,"")</f>
        <v>5</v>
      </c>
      <c r="AF783" s="81" t="str">
        <f>REPLACE(INDEX(GroupVertices[Group],MATCH("~"&amp;Edges[[#This Row],[Vertex 2]],GroupVertices[Vertex],0)),1,1,"")</f>
        <v>5</v>
      </c>
    </row>
    <row r="784" spans="1:32" ht="15">
      <c r="A784" s="66" t="s">
        <v>906</v>
      </c>
      <c r="B784" s="66" t="s">
        <v>906</v>
      </c>
      <c r="C784" s="67"/>
      <c r="D784" s="68"/>
      <c r="E784" s="69"/>
      <c r="F784" s="70"/>
      <c r="G784" s="67"/>
      <c r="H784" s="71"/>
      <c r="I784" s="72"/>
      <c r="J784" s="72"/>
      <c r="K784" s="35"/>
      <c r="L784" s="80">
        <v>784</v>
      </c>
      <c r="M784" s="80"/>
      <c r="N784" s="74"/>
      <c r="O784" s="82" t="s">
        <v>910</v>
      </c>
      <c r="P784" s="82"/>
      <c r="Q784" s="82"/>
      <c r="R784" s="82"/>
      <c r="S784" s="82"/>
      <c r="T784" s="82"/>
      <c r="U784" s="82"/>
      <c r="V784" s="82" t="s">
        <v>2374</v>
      </c>
      <c r="W784" s="87" t="str">
        <f>HYPERLINK("https://www.youtube.com/watch?v=UVf2Yw7uFoE")</f>
        <v>https://www.youtube.com/watch?v=UVf2Yw7uFoE</v>
      </c>
      <c r="X784" s="82"/>
      <c r="Y784" s="82"/>
      <c r="Z784" s="89">
        <v>45262.020902777775</v>
      </c>
      <c r="AA784" s="82"/>
      <c r="AB784" s="82"/>
      <c r="AC784" s="82"/>
      <c r="AD784" s="82"/>
      <c r="AE784" s="81" t="str">
        <f>REPLACE(INDEX(GroupVertices[Group],MATCH("~"&amp;Edges[[#This Row],[Vertex 1]],GroupVertices[Vertex],0)),1,1,"")</f>
        <v>5</v>
      </c>
      <c r="AF784" s="81" t="str">
        <f>REPLACE(INDEX(GroupVertices[Group],MATCH("~"&amp;Edges[[#This Row],[Vertex 2]],GroupVertices[Vertex],0)),1,1,"")</f>
        <v>5</v>
      </c>
    </row>
    <row r="785" spans="1:32" ht="15">
      <c r="A785" s="66" t="s">
        <v>907</v>
      </c>
      <c r="B785" s="66" t="s">
        <v>907</v>
      </c>
      <c r="C785" s="67"/>
      <c r="D785" s="68"/>
      <c r="E785" s="69"/>
      <c r="F785" s="70"/>
      <c r="G785" s="67"/>
      <c r="H785" s="71"/>
      <c r="I785" s="72"/>
      <c r="J785" s="72"/>
      <c r="K785" s="35"/>
      <c r="L785" s="80">
        <v>785</v>
      </c>
      <c r="M785" s="80"/>
      <c r="N785" s="74"/>
      <c r="O785" s="82" t="s">
        <v>910</v>
      </c>
      <c r="P785" s="82"/>
      <c r="Q785" s="82"/>
      <c r="R785" s="82"/>
      <c r="S785" s="82"/>
      <c r="T785" s="82"/>
      <c r="U785" s="82"/>
      <c r="V785" s="82" t="s">
        <v>2380</v>
      </c>
      <c r="W785" s="87" t="str">
        <f>HYPERLINK("https://www.youtube.com/watch?v=CZkUEepNKRA")</f>
        <v>https://www.youtube.com/watch?v=CZkUEepNKRA</v>
      </c>
      <c r="X785" s="82"/>
      <c r="Y785" s="82"/>
      <c r="Z785" s="89">
        <v>45183.34149305556</v>
      </c>
      <c r="AA785" s="82"/>
      <c r="AB785" s="82"/>
      <c r="AC785" s="82"/>
      <c r="AD785" s="82"/>
      <c r="AE785" s="81" t="str">
        <f>REPLACE(INDEX(GroupVertices[Group],MATCH("~"&amp;Edges[[#This Row],[Vertex 1]],GroupVertices[Vertex],0)),1,1,"")</f>
        <v>1</v>
      </c>
      <c r="AF785" s="81" t="str">
        <f>REPLACE(INDEX(GroupVertices[Group],MATCH("~"&amp;Edges[[#This Row],[Vertex 2]],GroupVertices[Vertex],0)),1,1,"")</f>
        <v>1</v>
      </c>
    </row>
    <row r="786" spans="1:32" ht="15">
      <c r="A786" s="66" t="s">
        <v>907</v>
      </c>
      <c r="B786" s="66" t="s">
        <v>907</v>
      </c>
      <c r="C786" s="67"/>
      <c r="D786" s="68"/>
      <c r="E786" s="69"/>
      <c r="F786" s="70"/>
      <c r="G786" s="67"/>
      <c r="H786" s="71"/>
      <c r="I786" s="72"/>
      <c r="J786" s="72"/>
      <c r="K786" s="35"/>
      <c r="L786" s="80">
        <v>786</v>
      </c>
      <c r="M786" s="80"/>
      <c r="N786" s="74"/>
      <c r="O786" s="82" t="s">
        <v>910</v>
      </c>
      <c r="P786" s="82"/>
      <c r="Q786" s="82"/>
      <c r="R786" s="82"/>
      <c r="S786" s="82"/>
      <c r="T786" s="82"/>
      <c r="U786" s="82"/>
      <c r="V786" s="82" t="s">
        <v>2381</v>
      </c>
      <c r="W786" s="87" t="str">
        <f>HYPERLINK("https://www.youtube.com/watch?v=WuDCQngEGG8")</f>
        <v>https://www.youtube.com/watch?v=WuDCQngEGG8</v>
      </c>
      <c r="X786" s="82"/>
      <c r="Y786" s="82"/>
      <c r="Z786" s="89">
        <v>45183.286099537036</v>
      </c>
      <c r="AA786" s="82"/>
      <c r="AB786" s="82"/>
      <c r="AC786" s="82"/>
      <c r="AD786" s="82"/>
      <c r="AE786" s="81" t="str">
        <f>REPLACE(INDEX(GroupVertices[Group],MATCH("~"&amp;Edges[[#This Row],[Vertex 1]],GroupVertices[Vertex],0)),1,1,"")</f>
        <v>1</v>
      </c>
      <c r="AF786" s="81" t="str">
        <f>REPLACE(INDEX(GroupVertices[Group],MATCH("~"&amp;Edges[[#This Row],[Vertex 2]],GroupVertices[Vertex],0)),1,1,"")</f>
        <v>1</v>
      </c>
    </row>
    <row r="787" spans="1:32" ht="15">
      <c r="A787" s="66" t="s">
        <v>907</v>
      </c>
      <c r="B787" s="66" t="s">
        <v>907</v>
      </c>
      <c r="C787" s="67"/>
      <c r="D787" s="68"/>
      <c r="E787" s="69"/>
      <c r="F787" s="70"/>
      <c r="G787" s="67"/>
      <c r="H787" s="71"/>
      <c r="I787" s="72"/>
      <c r="J787" s="72"/>
      <c r="K787" s="35"/>
      <c r="L787" s="80">
        <v>787</v>
      </c>
      <c r="M787" s="80"/>
      <c r="N787" s="74"/>
      <c r="O787" s="82" t="s">
        <v>910</v>
      </c>
      <c r="P787" s="82"/>
      <c r="Q787" s="82"/>
      <c r="R787" s="82"/>
      <c r="S787" s="82"/>
      <c r="T787" s="82"/>
      <c r="U787" s="82"/>
      <c r="V787" s="82" t="s">
        <v>2382</v>
      </c>
      <c r="W787" s="87" t="str">
        <f>HYPERLINK("https://www.youtube.com/watch?v=hjhbMuaXdfM")</f>
        <v>https://www.youtube.com/watch?v=hjhbMuaXdfM</v>
      </c>
      <c r="X787" s="82"/>
      <c r="Y787" s="82"/>
      <c r="Z787" s="89">
        <v>45183.2859837963</v>
      </c>
      <c r="AA787" s="82"/>
      <c r="AB787" s="82"/>
      <c r="AC787" s="82"/>
      <c r="AD787" s="82"/>
      <c r="AE787" s="81" t="str">
        <f>REPLACE(INDEX(GroupVertices[Group],MATCH("~"&amp;Edges[[#This Row],[Vertex 1]],GroupVertices[Vertex],0)),1,1,"")</f>
        <v>1</v>
      </c>
      <c r="AF787" s="81" t="str">
        <f>REPLACE(INDEX(GroupVertices[Group],MATCH("~"&amp;Edges[[#This Row],[Vertex 2]],GroupVertices[Vertex],0)),1,1,"")</f>
        <v>1</v>
      </c>
    </row>
    <row r="788" spans="1:32" ht="15">
      <c r="A788" s="66" t="s">
        <v>907</v>
      </c>
      <c r="B788" s="66" t="s">
        <v>907</v>
      </c>
      <c r="C788" s="67"/>
      <c r="D788" s="68"/>
      <c r="E788" s="69"/>
      <c r="F788" s="70"/>
      <c r="G788" s="67"/>
      <c r="H788" s="71"/>
      <c r="I788" s="72"/>
      <c r="J788" s="72"/>
      <c r="K788" s="35"/>
      <c r="L788" s="80">
        <v>788</v>
      </c>
      <c r="M788" s="80"/>
      <c r="N788" s="74"/>
      <c r="O788" s="82" t="s">
        <v>910</v>
      </c>
      <c r="P788" s="82"/>
      <c r="Q788" s="82"/>
      <c r="R788" s="82"/>
      <c r="S788" s="82"/>
      <c r="T788" s="82"/>
      <c r="U788" s="82"/>
      <c r="V788" s="82" t="s">
        <v>2383</v>
      </c>
      <c r="W788" s="87" t="str">
        <f>HYPERLINK("https://www.youtube.com/watch?v=ODk-rVq-5a0")</f>
        <v>https://www.youtube.com/watch?v=ODk-rVq-5a0</v>
      </c>
      <c r="X788" s="82"/>
      <c r="Y788" s="82"/>
      <c r="Z788" s="89">
        <v>45183.28592592593</v>
      </c>
      <c r="AA788" s="82"/>
      <c r="AB788" s="82"/>
      <c r="AC788" s="82"/>
      <c r="AD788" s="82"/>
      <c r="AE788" s="81" t="str">
        <f>REPLACE(INDEX(GroupVertices[Group],MATCH("~"&amp;Edges[[#This Row],[Vertex 1]],GroupVertices[Vertex],0)),1,1,"")</f>
        <v>1</v>
      </c>
      <c r="AF788" s="81" t="str">
        <f>REPLACE(INDEX(GroupVertices[Group],MATCH("~"&amp;Edges[[#This Row],[Vertex 2]],GroupVertices[Vertex],0)),1,1,"")</f>
        <v>1</v>
      </c>
    </row>
    <row r="789" spans="1:32" ht="15">
      <c r="A789" s="66" t="s">
        <v>907</v>
      </c>
      <c r="B789" s="66" t="s">
        <v>907</v>
      </c>
      <c r="C789" s="67"/>
      <c r="D789" s="68"/>
      <c r="E789" s="69"/>
      <c r="F789" s="70"/>
      <c r="G789" s="67"/>
      <c r="H789" s="71"/>
      <c r="I789" s="72"/>
      <c r="J789" s="72"/>
      <c r="K789" s="35"/>
      <c r="L789" s="80">
        <v>789</v>
      </c>
      <c r="M789" s="80"/>
      <c r="N789" s="74"/>
      <c r="O789" s="82" t="s">
        <v>910</v>
      </c>
      <c r="P789" s="82"/>
      <c r="Q789" s="82"/>
      <c r="R789" s="82"/>
      <c r="S789" s="82"/>
      <c r="T789" s="82"/>
      <c r="U789" s="82"/>
      <c r="V789" s="82" t="s">
        <v>2370</v>
      </c>
      <c r="W789" s="87" t="str">
        <f>HYPERLINK("https://www.youtube.com/watch?v=yBF2fGUO5cQ")</f>
        <v>https://www.youtube.com/watch?v=yBF2fGUO5cQ</v>
      </c>
      <c r="X789" s="82"/>
      <c r="Y789" s="82"/>
      <c r="Z789" s="89">
        <v>45282.866377314815</v>
      </c>
      <c r="AA789" s="82"/>
      <c r="AB789" s="82"/>
      <c r="AC789" s="82"/>
      <c r="AD789" s="82"/>
      <c r="AE789" s="81" t="str">
        <f>REPLACE(INDEX(GroupVertices[Group],MATCH("~"&amp;Edges[[#This Row],[Vertex 1]],GroupVertices[Vertex],0)),1,1,"")</f>
        <v>1</v>
      </c>
      <c r="AF789" s="81" t="str">
        <f>REPLACE(INDEX(GroupVertices[Group],MATCH("~"&amp;Edges[[#This Row],[Vertex 2]],GroupVertices[Vertex],0)),1,1,"")</f>
        <v>1</v>
      </c>
    </row>
    <row r="790" spans="1:32" ht="15">
      <c r="A790" s="66" t="s">
        <v>907</v>
      </c>
      <c r="B790" s="66" t="s">
        <v>907</v>
      </c>
      <c r="C790" s="67"/>
      <c r="D790" s="68"/>
      <c r="E790" s="69"/>
      <c r="F790" s="70"/>
      <c r="G790" s="67"/>
      <c r="H790" s="71"/>
      <c r="I790" s="72"/>
      <c r="J790" s="72"/>
      <c r="K790" s="35"/>
      <c r="L790" s="80">
        <v>790</v>
      </c>
      <c r="M790" s="80"/>
      <c r="N790" s="74"/>
      <c r="O790" s="82" t="s">
        <v>910</v>
      </c>
      <c r="P790" s="82"/>
      <c r="Q790" s="82"/>
      <c r="R790" s="82"/>
      <c r="S790" s="82"/>
      <c r="T790" s="82"/>
      <c r="U790" s="82"/>
      <c r="V790" s="82" t="s">
        <v>2375</v>
      </c>
      <c r="W790" s="87" t="str">
        <f>HYPERLINK("https://www.youtube.com/watch?v=75c-kHKv0O4")</f>
        <v>https://www.youtube.com/watch?v=75c-kHKv0O4</v>
      </c>
      <c r="X790" s="82"/>
      <c r="Y790" s="82"/>
      <c r="Z790" s="89">
        <v>45183.28585648148</v>
      </c>
      <c r="AA790" s="82"/>
      <c r="AB790" s="82"/>
      <c r="AC790" s="82"/>
      <c r="AD790" s="82"/>
      <c r="AE790" s="81" t="str">
        <f>REPLACE(INDEX(GroupVertices[Group],MATCH("~"&amp;Edges[[#This Row],[Vertex 1]],GroupVertices[Vertex],0)),1,1,"")</f>
        <v>1</v>
      </c>
      <c r="AF790" s="81"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0"/>
    <dataValidation allowBlank="1" showErrorMessage="1" sqref="N2:N7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0"/>
    <dataValidation allowBlank="1" showInputMessage="1" promptTitle="Edge Color" prompt="To select an optional edge color, right-click and select Select Color on the right-click menu." sqref="C3:C790"/>
    <dataValidation allowBlank="1" showInputMessage="1" promptTitle="Edge Width" prompt="Enter an optional edge width between 1 and 10." errorTitle="Invalid Edge Width" error="The optional edge width must be a whole number between 1 and 10." sqref="D3:D790"/>
    <dataValidation allowBlank="1" showInputMessage="1" promptTitle="Edge Opacity" prompt="Enter an optional edge opacity between 0 (transparent) and 100 (opaque)." errorTitle="Invalid Edge Opacity" error="The optional edge opacity must be a whole number between 0 and 10." sqref="F3:F7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0">
      <formula1>ValidEdgeVisibilities</formula1>
    </dataValidation>
    <dataValidation allowBlank="1" showInputMessage="1" showErrorMessage="1" promptTitle="Vertex 1 Name" prompt="Enter the name of the edge's first vertex." sqref="A3:A790"/>
    <dataValidation allowBlank="1" showInputMessage="1" showErrorMessage="1" promptTitle="Vertex 2 Name" prompt="Enter the name of the edge's second vertex." sqref="B3:B790"/>
    <dataValidation allowBlank="1" showInputMessage="1" showErrorMessage="1" promptTitle="Edge Label" prompt="Enter an optional edge label." errorTitle="Invalid Edge Visibility" error="You have entered an unrecognized edge visibility.  Try selecting from the drop-down list instead." sqref="H3:H7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A2A3-59FD-4683-A388-6C402C3B7EC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3446</v>
      </c>
      <c r="B1" s="13" t="s">
        <v>34</v>
      </c>
    </row>
    <row r="2" spans="1:2" ht="15">
      <c r="A2" s="107" t="s">
        <v>901</v>
      </c>
      <c r="B2" s="81">
        <v>237711.47619</v>
      </c>
    </row>
    <row r="3" spans="1:2" ht="15">
      <c r="A3" s="110" t="s">
        <v>907</v>
      </c>
      <c r="B3" s="81">
        <v>209336.52381</v>
      </c>
    </row>
    <row r="4" spans="1:2" ht="15">
      <c r="A4" s="110" t="s">
        <v>902</v>
      </c>
      <c r="B4" s="81">
        <v>133195.1</v>
      </c>
    </row>
    <row r="5" spans="1:2" ht="15">
      <c r="A5" s="110" t="s">
        <v>905</v>
      </c>
      <c r="B5" s="81">
        <v>122031.966667</v>
      </c>
    </row>
    <row r="6" spans="1:2" ht="15">
      <c r="A6" s="110" t="s">
        <v>903</v>
      </c>
      <c r="B6" s="81">
        <v>120358.385714</v>
      </c>
    </row>
    <row r="7" spans="1:2" ht="15">
      <c r="A7" s="110" t="s">
        <v>899</v>
      </c>
      <c r="B7" s="81">
        <v>110903.204762</v>
      </c>
    </row>
    <row r="8" spans="1:2" ht="15">
      <c r="A8" s="110" t="s">
        <v>906</v>
      </c>
      <c r="B8" s="81">
        <v>110485.342857</v>
      </c>
    </row>
    <row r="9" spans="1:2" ht="15">
      <c r="A9" s="110" t="s">
        <v>683</v>
      </c>
      <c r="B9" s="81">
        <v>57345.974603</v>
      </c>
    </row>
    <row r="10" spans="1:2" ht="15">
      <c r="A10" s="110" t="s">
        <v>605</v>
      </c>
      <c r="B10" s="81">
        <v>55644.066667</v>
      </c>
    </row>
    <row r="11" spans="1:2" ht="15">
      <c r="A11" s="110" t="s">
        <v>465</v>
      </c>
      <c r="B11" s="81">
        <v>52525.260317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F236-325F-4095-AE9B-28D8453C4BB4}">
  <dimension ref="A1:T51"/>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s>
  <sheetData>
    <row r="1" spans="1:20" ht="15" customHeight="1">
      <c r="A1" s="13" t="s">
        <v>3447</v>
      </c>
      <c r="B1" s="13" t="s">
        <v>3458</v>
      </c>
      <c r="C1" s="13" t="s">
        <v>3459</v>
      </c>
      <c r="D1" s="13" t="s">
        <v>3465</v>
      </c>
      <c r="E1" s="13" t="s">
        <v>3464</v>
      </c>
      <c r="F1" s="13" t="s">
        <v>3469</v>
      </c>
      <c r="G1" s="13" t="s">
        <v>3468</v>
      </c>
      <c r="H1" s="13" t="s">
        <v>3473</v>
      </c>
      <c r="I1" s="13" t="s">
        <v>3472</v>
      </c>
      <c r="J1" s="13" t="s">
        <v>3485</v>
      </c>
      <c r="K1" s="13" t="s">
        <v>3484</v>
      </c>
      <c r="L1" s="13" t="s">
        <v>3489</v>
      </c>
      <c r="M1" s="13" t="s">
        <v>3488</v>
      </c>
      <c r="N1" s="13" t="s">
        <v>3498</v>
      </c>
      <c r="O1" s="13" t="s">
        <v>3497</v>
      </c>
      <c r="P1" s="13" t="s">
        <v>3510</v>
      </c>
      <c r="Q1" s="81" t="s">
        <v>3509</v>
      </c>
      <c r="R1" s="81" t="s">
        <v>3512</v>
      </c>
      <c r="S1" s="81" t="s">
        <v>3511</v>
      </c>
      <c r="T1" s="81" t="s">
        <v>3513</v>
      </c>
    </row>
    <row r="2" spans="1:20" ht="15">
      <c r="A2" s="86" t="s">
        <v>3448</v>
      </c>
      <c r="B2" s="81">
        <v>2</v>
      </c>
      <c r="C2" s="86" t="s">
        <v>3448</v>
      </c>
      <c r="D2" s="81">
        <v>2</v>
      </c>
      <c r="E2" s="86" t="s">
        <v>3466</v>
      </c>
      <c r="F2" s="81">
        <v>1</v>
      </c>
      <c r="G2" s="86" t="s">
        <v>3449</v>
      </c>
      <c r="H2" s="81">
        <v>2</v>
      </c>
      <c r="I2" s="86" t="s">
        <v>3474</v>
      </c>
      <c r="J2" s="81">
        <v>1</v>
      </c>
      <c r="K2" s="86" t="s">
        <v>3486</v>
      </c>
      <c r="L2" s="81">
        <v>1</v>
      </c>
      <c r="M2" s="86" t="s">
        <v>3455</v>
      </c>
      <c r="N2" s="81">
        <v>2</v>
      </c>
      <c r="O2" s="86" t="s">
        <v>3499</v>
      </c>
      <c r="P2" s="81">
        <v>2</v>
      </c>
      <c r="Q2" s="81"/>
      <c r="R2" s="81"/>
      <c r="S2" s="81"/>
      <c r="T2" s="81"/>
    </row>
    <row r="3" spans="1:20" ht="15">
      <c r="A3" s="87" t="s">
        <v>3449</v>
      </c>
      <c r="B3" s="81">
        <v>2</v>
      </c>
      <c r="C3" s="86" t="s">
        <v>3452</v>
      </c>
      <c r="D3" s="81">
        <v>2</v>
      </c>
      <c r="E3" s="86" t="s">
        <v>3467</v>
      </c>
      <c r="F3" s="81">
        <v>1</v>
      </c>
      <c r="G3" s="86" t="s">
        <v>3450</v>
      </c>
      <c r="H3" s="81">
        <v>2</v>
      </c>
      <c r="I3" s="86" t="s">
        <v>3475</v>
      </c>
      <c r="J3" s="81">
        <v>1</v>
      </c>
      <c r="K3" s="86" t="s">
        <v>3487</v>
      </c>
      <c r="L3" s="81">
        <v>1</v>
      </c>
      <c r="M3" s="86" t="s">
        <v>3456</v>
      </c>
      <c r="N3" s="81">
        <v>2</v>
      </c>
      <c r="O3" s="86" t="s">
        <v>3500</v>
      </c>
      <c r="P3" s="81">
        <v>2</v>
      </c>
      <c r="Q3" s="81"/>
      <c r="R3" s="81"/>
      <c r="S3" s="81"/>
      <c r="T3" s="81"/>
    </row>
    <row r="4" spans="1:20" ht="15">
      <c r="A4" s="87" t="s">
        <v>3450</v>
      </c>
      <c r="B4" s="81">
        <v>2</v>
      </c>
      <c r="C4" s="86" t="s">
        <v>3453</v>
      </c>
      <c r="D4" s="81">
        <v>2</v>
      </c>
      <c r="E4" s="81"/>
      <c r="F4" s="81"/>
      <c r="G4" s="86" t="s">
        <v>3451</v>
      </c>
      <c r="H4" s="81">
        <v>2</v>
      </c>
      <c r="I4" s="86" t="s">
        <v>3476</v>
      </c>
      <c r="J4" s="81">
        <v>1</v>
      </c>
      <c r="K4" s="81"/>
      <c r="L4" s="81"/>
      <c r="M4" s="86" t="s">
        <v>3457</v>
      </c>
      <c r="N4" s="81">
        <v>2</v>
      </c>
      <c r="O4" s="86" t="s">
        <v>3501</v>
      </c>
      <c r="P4" s="81">
        <v>1</v>
      </c>
      <c r="Q4" s="81"/>
      <c r="R4" s="81"/>
      <c r="S4" s="81"/>
      <c r="T4" s="81"/>
    </row>
    <row r="5" spans="1:20" ht="15">
      <c r="A5" s="87" t="s">
        <v>3451</v>
      </c>
      <c r="B5" s="81">
        <v>2</v>
      </c>
      <c r="C5" s="86" t="s">
        <v>3454</v>
      </c>
      <c r="D5" s="81">
        <v>2</v>
      </c>
      <c r="E5" s="81"/>
      <c r="F5" s="81"/>
      <c r="G5" s="86" t="s">
        <v>3470</v>
      </c>
      <c r="H5" s="81">
        <v>1</v>
      </c>
      <c r="I5" s="86" t="s">
        <v>3477</v>
      </c>
      <c r="J5" s="81">
        <v>1</v>
      </c>
      <c r="K5" s="81"/>
      <c r="L5" s="81"/>
      <c r="M5" s="86" t="s">
        <v>3490</v>
      </c>
      <c r="N5" s="81">
        <v>2</v>
      </c>
      <c r="O5" s="86" t="s">
        <v>3502</v>
      </c>
      <c r="P5" s="81">
        <v>1</v>
      </c>
      <c r="Q5" s="81"/>
      <c r="R5" s="81"/>
      <c r="S5" s="81"/>
      <c r="T5" s="81"/>
    </row>
    <row r="6" spans="1:20" ht="15">
      <c r="A6" s="87" t="s">
        <v>3452</v>
      </c>
      <c r="B6" s="81">
        <v>2</v>
      </c>
      <c r="C6" s="86" t="s">
        <v>3460</v>
      </c>
      <c r="D6" s="81">
        <v>1</v>
      </c>
      <c r="E6" s="81"/>
      <c r="F6" s="81"/>
      <c r="G6" s="86" t="s">
        <v>3471</v>
      </c>
      <c r="H6" s="81">
        <v>1</v>
      </c>
      <c r="I6" s="86" t="s">
        <v>3478</v>
      </c>
      <c r="J6" s="81">
        <v>1</v>
      </c>
      <c r="K6" s="81"/>
      <c r="L6" s="81"/>
      <c r="M6" s="86" t="s">
        <v>3491</v>
      </c>
      <c r="N6" s="81">
        <v>2</v>
      </c>
      <c r="O6" s="86" t="s">
        <v>3503</v>
      </c>
      <c r="P6" s="81">
        <v>1</v>
      </c>
      <c r="Q6" s="81"/>
      <c r="R6" s="81"/>
      <c r="S6" s="81"/>
      <c r="T6" s="81"/>
    </row>
    <row r="7" spans="1:20" ht="15">
      <c r="A7" s="87" t="s">
        <v>3453</v>
      </c>
      <c r="B7" s="81">
        <v>2</v>
      </c>
      <c r="C7" s="86" t="s">
        <v>3461</v>
      </c>
      <c r="D7" s="81">
        <v>1</v>
      </c>
      <c r="E7" s="81"/>
      <c r="F7" s="81"/>
      <c r="G7" s="81"/>
      <c r="H7" s="81"/>
      <c r="I7" s="86" t="s">
        <v>3479</v>
      </c>
      <c r="J7" s="81">
        <v>1</v>
      </c>
      <c r="K7" s="81"/>
      <c r="L7" s="81"/>
      <c r="M7" s="86" t="s">
        <v>3492</v>
      </c>
      <c r="N7" s="81">
        <v>2</v>
      </c>
      <c r="O7" s="86" t="s">
        <v>3504</v>
      </c>
      <c r="P7" s="81">
        <v>1</v>
      </c>
      <c r="Q7" s="81"/>
      <c r="R7" s="81"/>
      <c r="S7" s="81"/>
      <c r="T7" s="81"/>
    </row>
    <row r="8" spans="1:20" ht="15">
      <c r="A8" s="87" t="s">
        <v>3454</v>
      </c>
      <c r="B8" s="81">
        <v>2</v>
      </c>
      <c r="C8" s="86" t="s">
        <v>3462</v>
      </c>
      <c r="D8" s="81">
        <v>1</v>
      </c>
      <c r="E8" s="81"/>
      <c r="F8" s="81"/>
      <c r="G8" s="81"/>
      <c r="H8" s="81"/>
      <c r="I8" s="86" t="s">
        <v>3480</v>
      </c>
      <c r="J8" s="81">
        <v>1</v>
      </c>
      <c r="K8" s="81"/>
      <c r="L8" s="81"/>
      <c r="M8" s="86" t="s">
        <v>3493</v>
      </c>
      <c r="N8" s="81">
        <v>2</v>
      </c>
      <c r="O8" s="86" t="s">
        <v>3505</v>
      </c>
      <c r="P8" s="81">
        <v>1</v>
      </c>
      <c r="Q8" s="81"/>
      <c r="R8" s="81"/>
      <c r="S8" s="81"/>
      <c r="T8" s="81"/>
    </row>
    <row r="9" spans="1:20" ht="15">
      <c r="A9" s="87" t="s">
        <v>3455</v>
      </c>
      <c r="B9" s="81">
        <v>2</v>
      </c>
      <c r="C9" s="86" t="s">
        <v>3463</v>
      </c>
      <c r="D9" s="81">
        <v>1</v>
      </c>
      <c r="E9" s="81"/>
      <c r="F9" s="81"/>
      <c r="G9" s="81"/>
      <c r="H9" s="81"/>
      <c r="I9" s="86" t="s">
        <v>3481</v>
      </c>
      <c r="J9" s="81">
        <v>1</v>
      </c>
      <c r="K9" s="81"/>
      <c r="L9" s="81"/>
      <c r="M9" s="86" t="s">
        <v>3494</v>
      </c>
      <c r="N9" s="81">
        <v>2</v>
      </c>
      <c r="O9" s="86" t="s">
        <v>3506</v>
      </c>
      <c r="P9" s="81">
        <v>1</v>
      </c>
      <c r="Q9" s="81"/>
      <c r="R9" s="81"/>
      <c r="S9" s="81"/>
      <c r="T9" s="81"/>
    </row>
    <row r="10" spans="1:20" ht="15">
      <c r="A10" s="87" t="s">
        <v>3456</v>
      </c>
      <c r="B10" s="81">
        <v>2</v>
      </c>
      <c r="C10" s="81"/>
      <c r="D10" s="81"/>
      <c r="E10" s="81"/>
      <c r="F10" s="81"/>
      <c r="G10" s="81"/>
      <c r="H10" s="81"/>
      <c r="I10" s="86" t="s">
        <v>3482</v>
      </c>
      <c r="J10" s="81">
        <v>1</v>
      </c>
      <c r="K10" s="81"/>
      <c r="L10" s="81"/>
      <c r="M10" s="86" t="s">
        <v>3495</v>
      </c>
      <c r="N10" s="81">
        <v>2</v>
      </c>
      <c r="O10" s="86" t="s">
        <v>3507</v>
      </c>
      <c r="P10" s="81">
        <v>1</v>
      </c>
      <c r="Q10" s="81"/>
      <c r="R10" s="81"/>
      <c r="S10" s="81"/>
      <c r="T10" s="81"/>
    </row>
    <row r="11" spans="1:20" ht="15">
      <c r="A11" s="87" t="s">
        <v>3457</v>
      </c>
      <c r="B11" s="81">
        <v>2</v>
      </c>
      <c r="C11" s="81"/>
      <c r="D11" s="81"/>
      <c r="E11" s="81"/>
      <c r="F11" s="81"/>
      <c r="G11" s="81"/>
      <c r="H11" s="81"/>
      <c r="I11" s="86" t="s">
        <v>3483</v>
      </c>
      <c r="J11" s="81">
        <v>1</v>
      </c>
      <c r="K11" s="81"/>
      <c r="L11" s="81"/>
      <c r="M11" s="86" t="s">
        <v>3496</v>
      </c>
      <c r="N11" s="81">
        <v>2</v>
      </c>
      <c r="O11" s="86" t="s">
        <v>3508</v>
      </c>
      <c r="P11" s="81">
        <v>1</v>
      </c>
      <c r="Q11" s="81"/>
      <c r="R11" s="81"/>
      <c r="S11" s="81"/>
      <c r="T11" s="81"/>
    </row>
    <row r="14" spans="1:20" ht="15" customHeight="1">
      <c r="A14" s="13" t="s">
        <v>3522</v>
      </c>
      <c r="B14" s="13" t="s">
        <v>3458</v>
      </c>
      <c r="C14" s="13" t="s">
        <v>3528</v>
      </c>
      <c r="D14" s="13" t="s">
        <v>3465</v>
      </c>
      <c r="E14" s="13" t="s">
        <v>3529</v>
      </c>
      <c r="F14" s="13" t="s">
        <v>3469</v>
      </c>
      <c r="G14" s="13" t="s">
        <v>3530</v>
      </c>
      <c r="H14" s="13" t="s">
        <v>3473</v>
      </c>
      <c r="I14" s="13" t="s">
        <v>3531</v>
      </c>
      <c r="J14" s="13" t="s">
        <v>3485</v>
      </c>
      <c r="K14" s="13" t="s">
        <v>3532</v>
      </c>
      <c r="L14" s="13" t="s">
        <v>3489</v>
      </c>
      <c r="M14" s="13" t="s">
        <v>3533</v>
      </c>
      <c r="N14" s="13" t="s">
        <v>3498</v>
      </c>
      <c r="O14" s="13" t="s">
        <v>3534</v>
      </c>
      <c r="P14" s="13" t="s">
        <v>3510</v>
      </c>
      <c r="Q14" s="81" t="s">
        <v>3535</v>
      </c>
      <c r="R14" s="81" t="s">
        <v>3512</v>
      </c>
      <c r="S14" s="81" t="s">
        <v>3536</v>
      </c>
      <c r="T14" s="81" t="s">
        <v>3513</v>
      </c>
    </row>
    <row r="15" spans="1:20" ht="15">
      <c r="A15" s="81" t="s">
        <v>2414</v>
      </c>
      <c r="B15" s="81">
        <v>75</v>
      </c>
      <c r="C15" s="81" t="s">
        <v>2414</v>
      </c>
      <c r="D15" s="81">
        <v>5</v>
      </c>
      <c r="E15" s="81" t="s">
        <v>2414</v>
      </c>
      <c r="F15" s="81">
        <v>2</v>
      </c>
      <c r="G15" s="81" t="s">
        <v>3523</v>
      </c>
      <c r="H15" s="81">
        <v>4</v>
      </c>
      <c r="I15" s="81" t="s">
        <v>2414</v>
      </c>
      <c r="J15" s="81">
        <v>10</v>
      </c>
      <c r="K15" s="81" t="s">
        <v>2414</v>
      </c>
      <c r="L15" s="81">
        <v>2</v>
      </c>
      <c r="M15" s="81" t="s">
        <v>2414</v>
      </c>
      <c r="N15" s="81">
        <v>38</v>
      </c>
      <c r="O15" s="81" t="s">
        <v>2414</v>
      </c>
      <c r="P15" s="81">
        <v>15</v>
      </c>
      <c r="Q15" s="81"/>
      <c r="R15" s="81"/>
      <c r="S15" s="81"/>
      <c r="T15" s="81"/>
    </row>
    <row r="16" spans="1:20" ht="15">
      <c r="A16" s="82" t="s">
        <v>3523</v>
      </c>
      <c r="B16" s="81">
        <v>4</v>
      </c>
      <c r="C16" s="81" t="s">
        <v>3524</v>
      </c>
      <c r="D16" s="81">
        <v>2</v>
      </c>
      <c r="E16" s="81"/>
      <c r="F16" s="81"/>
      <c r="G16" s="81" t="s">
        <v>2414</v>
      </c>
      <c r="H16" s="81">
        <v>3</v>
      </c>
      <c r="I16" s="81"/>
      <c r="J16" s="81"/>
      <c r="K16" s="81"/>
      <c r="L16" s="81"/>
      <c r="M16" s="81" t="s">
        <v>3527</v>
      </c>
      <c r="N16" s="81">
        <v>2</v>
      </c>
      <c r="O16" s="81"/>
      <c r="P16" s="81"/>
      <c r="Q16" s="81"/>
      <c r="R16" s="81"/>
      <c r="S16" s="81"/>
      <c r="T16" s="81"/>
    </row>
    <row r="17" spans="1:20" ht="15">
      <c r="A17" s="82" t="s">
        <v>3524</v>
      </c>
      <c r="B17" s="81">
        <v>2</v>
      </c>
      <c r="C17" s="81" t="s">
        <v>3525</v>
      </c>
      <c r="D17" s="81">
        <v>2</v>
      </c>
      <c r="E17" s="81"/>
      <c r="F17" s="81"/>
      <c r="G17" s="81" t="s">
        <v>2421</v>
      </c>
      <c r="H17" s="81">
        <v>1</v>
      </c>
      <c r="I17" s="81"/>
      <c r="J17" s="81"/>
      <c r="K17" s="81"/>
      <c r="L17" s="81"/>
      <c r="M17" s="81"/>
      <c r="N17" s="81"/>
      <c r="O17" s="81"/>
      <c r="P17" s="81"/>
      <c r="Q17" s="81"/>
      <c r="R17" s="81"/>
      <c r="S17" s="81"/>
      <c r="T17" s="81"/>
    </row>
    <row r="18" spans="1:20" ht="15">
      <c r="A18" s="82" t="s">
        <v>3525</v>
      </c>
      <c r="B18" s="81">
        <v>2</v>
      </c>
      <c r="C18" s="81" t="s">
        <v>3526</v>
      </c>
      <c r="D18" s="81">
        <v>2</v>
      </c>
      <c r="E18" s="81"/>
      <c r="F18" s="81"/>
      <c r="G18" s="81"/>
      <c r="H18" s="81"/>
      <c r="I18" s="81"/>
      <c r="J18" s="81"/>
      <c r="K18" s="81"/>
      <c r="L18" s="81"/>
      <c r="M18" s="81"/>
      <c r="N18" s="81"/>
      <c r="O18" s="81"/>
      <c r="P18" s="81"/>
      <c r="Q18" s="81"/>
      <c r="R18" s="81"/>
      <c r="S18" s="81"/>
      <c r="T18" s="81"/>
    </row>
    <row r="19" spans="1:20" ht="15">
      <c r="A19" s="82" t="s">
        <v>3526</v>
      </c>
      <c r="B19" s="81">
        <v>2</v>
      </c>
      <c r="C19" s="81" t="s">
        <v>2419</v>
      </c>
      <c r="D19" s="81">
        <v>1</v>
      </c>
      <c r="E19" s="81"/>
      <c r="F19" s="81"/>
      <c r="G19" s="81"/>
      <c r="H19" s="81"/>
      <c r="I19" s="81"/>
      <c r="J19" s="81"/>
      <c r="K19" s="81"/>
      <c r="L19" s="81"/>
      <c r="M19" s="81"/>
      <c r="N19" s="81"/>
      <c r="O19" s="81"/>
      <c r="P19" s="81"/>
      <c r="Q19" s="81"/>
      <c r="R19" s="81"/>
      <c r="S19" s="81"/>
      <c r="T19" s="81"/>
    </row>
    <row r="20" spans="1:20" ht="15">
      <c r="A20" s="82" t="s">
        <v>3527</v>
      </c>
      <c r="B20" s="81">
        <v>2</v>
      </c>
      <c r="C20" s="81"/>
      <c r="D20" s="81"/>
      <c r="E20" s="81"/>
      <c r="F20" s="81"/>
      <c r="G20" s="81"/>
      <c r="H20" s="81"/>
      <c r="I20" s="81"/>
      <c r="J20" s="81"/>
      <c r="K20" s="81"/>
      <c r="L20" s="81"/>
      <c r="M20" s="81"/>
      <c r="N20" s="81"/>
      <c r="O20" s="81"/>
      <c r="P20" s="81"/>
      <c r="Q20" s="81"/>
      <c r="R20" s="81"/>
      <c r="S20" s="81"/>
      <c r="T20" s="81"/>
    </row>
    <row r="21" spans="1:20" ht="15">
      <c r="A21" s="82" t="s">
        <v>2421</v>
      </c>
      <c r="B21" s="81">
        <v>1</v>
      </c>
      <c r="C21" s="81"/>
      <c r="D21" s="81"/>
      <c r="E21" s="81"/>
      <c r="F21" s="81"/>
      <c r="G21" s="81"/>
      <c r="H21" s="81"/>
      <c r="I21" s="81"/>
      <c r="J21" s="81"/>
      <c r="K21" s="81"/>
      <c r="L21" s="81"/>
      <c r="M21" s="81"/>
      <c r="N21" s="81"/>
      <c r="O21" s="81"/>
      <c r="P21" s="81"/>
      <c r="Q21" s="81"/>
      <c r="R21" s="81"/>
      <c r="S21" s="81"/>
      <c r="T21" s="81"/>
    </row>
    <row r="22" spans="1:20" ht="15">
      <c r="A22" s="82" t="s">
        <v>2419</v>
      </c>
      <c r="B22" s="81">
        <v>1</v>
      </c>
      <c r="C22" s="81"/>
      <c r="D22" s="81"/>
      <c r="E22" s="81"/>
      <c r="F22" s="81"/>
      <c r="G22" s="81"/>
      <c r="H22" s="81"/>
      <c r="I22" s="81"/>
      <c r="J22" s="81"/>
      <c r="K22" s="81"/>
      <c r="L22" s="81"/>
      <c r="M22" s="81"/>
      <c r="N22" s="81"/>
      <c r="O22" s="81"/>
      <c r="P22" s="81"/>
      <c r="Q22" s="81"/>
      <c r="R22" s="81"/>
      <c r="S22" s="81"/>
      <c r="T22" s="81"/>
    </row>
    <row r="25" spans="1:20" ht="15" customHeight="1">
      <c r="A25" s="81" t="s">
        <v>3541</v>
      </c>
      <c r="B25" s="81" t="s">
        <v>3458</v>
      </c>
      <c r="C25" s="81" t="s">
        <v>3542</v>
      </c>
      <c r="D25" s="81" t="s">
        <v>3465</v>
      </c>
      <c r="E25" s="81" t="s">
        <v>3543</v>
      </c>
      <c r="F25" s="81" t="s">
        <v>3469</v>
      </c>
      <c r="G25" s="81" t="s">
        <v>3544</v>
      </c>
      <c r="H25" s="81" t="s">
        <v>3473</v>
      </c>
      <c r="I25" s="81" t="s">
        <v>3545</v>
      </c>
      <c r="J25" s="81" t="s">
        <v>3485</v>
      </c>
      <c r="K25" s="81" t="s">
        <v>3546</v>
      </c>
      <c r="L25" s="81" t="s">
        <v>3489</v>
      </c>
      <c r="M25" s="81" t="s">
        <v>3547</v>
      </c>
      <c r="N25" s="81" t="s">
        <v>3498</v>
      </c>
      <c r="O25" s="81" t="s">
        <v>3548</v>
      </c>
      <c r="P25" s="81" t="s">
        <v>3510</v>
      </c>
      <c r="Q25" s="81" t="s">
        <v>3549</v>
      </c>
      <c r="R25" s="81" t="s">
        <v>3512</v>
      </c>
      <c r="S25" s="81" t="s">
        <v>3550</v>
      </c>
      <c r="T25" s="81" t="s">
        <v>3513</v>
      </c>
    </row>
    <row r="26" spans="1:20" ht="15">
      <c r="A26" s="81"/>
      <c r="B26" s="81"/>
      <c r="C26" s="81"/>
      <c r="D26" s="81"/>
      <c r="E26" s="81"/>
      <c r="F26" s="81"/>
      <c r="G26" s="81"/>
      <c r="H26" s="81"/>
      <c r="I26" s="81"/>
      <c r="J26" s="81"/>
      <c r="K26" s="81"/>
      <c r="L26" s="81"/>
      <c r="M26" s="81"/>
      <c r="N26" s="81"/>
      <c r="O26" s="81"/>
      <c r="P26" s="81"/>
      <c r="Q26" s="81"/>
      <c r="R26" s="81"/>
      <c r="S26" s="81"/>
      <c r="T26" s="81"/>
    </row>
    <row r="28" spans="1:20" ht="15" customHeight="1">
      <c r="A28" s="13" t="s">
        <v>3552</v>
      </c>
      <c r="B28" s="13" t="s">
        <v>3458</v>
      </c>
      <c r="C28" s="13" t="s">
        <v>3563</v>
      </c>
      <c r="D28" s="13" t="s">
        <v>3465</v>
      </c>
      <c r="E28" s="13" t="s">
        <v>3568</v>
      </c>
      <c r="F28" s="13" t="s">
        <v>3469</v>
      </c>
      <c r="G28" s="13" t="s">
        <v>3572</v>
      </c>
      <c r="H28" s="13" t="s">
        <v>3473</v>
      </c>
      <c r="I28" s="13" t="s">
        <v>3575</v>
      </c>
      <c r="J28" s="13" t="s">
        <v>3485</v>
      </c>
      <c r="K28" s="13" t="s">
        <v>3578</v>
      </c>
      <c r="L28" s="13" t="s">
        <v>3489</v>
      </c>
      <c r="M28" s="13" t="s">
        <v>3582</v>
      </c>
      <c r="N28" s="13" t="s">
        <v>3498</v>
      </c>
      <c r="O28" s="13" t="s">
        <v>3584</v>
      </c>
      <c r="P28" s="13" t="s">
        <v>3510</v>
      </c>
      <c r="Q28" s="81" t="s">
        <v>3590</v>
      </c>
      <c r="R28" s="81" t="s">
        <v>3512</v>
      </c>
      <c r="S28" s="13" t="s">
        <v>3591</v>
      </c>
      <c r="T28" s="13" t="s">
        <v>3513</v>
      </c>
    </row>
    <row r="29" spans="1:20" ht="15">
      <c r="A29" s="84" t="s">
        <v>3553</v>
      </c>
      <c r="B29" s="84">
        <v>432</v>
      </c>
      <c r="C29" s="84" t="s">
        <v>3553</v>
      </c>
      <c r="D29" s="84">
        <v>138</v>
      </c>
      <c r="E29" s="84" t="s">
        <v>3553</v>
      </c>
      <c r="F29" s="84">
        <v>61</v>
      </c>
      <c r="G29" s="84" t="s">
        <v>3553</v>
      </c>
      <c r="H29" s="84">
        <v>55</v>
      </c>
      <c r="I29" s="84" t="s">
        <v>3553</v>
      </c>
      <c r="J29" s="84">
        <v>54</v>
      </c>
      <c r="K29" s="84" t="s">
        <v>3553</v>
      </c>
      <c r="L29" s="84">
        <v>34</v>
      </c>
      <c r="M29" s="84" t="s">
        <v>3553</v>
      </c>
      <c r="N29" s="84">
        <v>55</v>
      </c>
      <c r="O29" s="84" t="s">
        <v>3553</v>
      </c>
      <c r="P29" s="84">
        <v>35</v>
      </c>
      <c r="Q29" s="84"/>
      <c r="R29" s="84"/>
      <c r="S29" s="84" t="s">
        <v>3555</v>
      </c>
      <c r="T29" s="84">
        <v>2</v>
      </c>
    </row>
    <row r="30" spans="1:20" ht="15">
      <c r="A30" s="85" t="s">
        <v>3554</v>
      </c>
      <c r="B30" s="84">
        <v>189</v>
      </c>
      <c r="C30" s="84" t="s">
        <v>3554</v>
      </c>
      <c r="D30" s="84">
        <v>97</v>
      </c>
      <c r="E30" s="84" t="s">
        <v>3569</v>
      </c>
      <c r="F30" s="84">
        <v>42</v>
      </c>
      <c r="G30" s="84" t="s">
        <v>3557</v>
      </c>
      <c r="H30" s="84">
        <v>50</v>
      </c>
      <c r="I30" s="84" t="s">
        <v>3559</v>
      </c>
      <c r="J30" s="84">
        <v>39</v>
      </c>
      <c r="K30" s="84" t="s">
        <v>3579</v>
      </c>
      <c r="L30" s="84">
        <v>16</v>
      </c>
      <c r="M30" s="84" t="s">
        <v>3581</v>
      </c>
      <c r="N30" s="84">
        <v>33</v>
      </c>
      <c r="O30" s="84" t="s">
        <v>3556</v>
      </c>
      <c r="P30" s="84">
        <v>22</v>
      </c>
      <c r="Q30" s="84"/>
      <c r="R30" s="84"/>
      <c r="S30" s="84" t="s">
        <v>3560</v>
      </c>
      <c r="T30" s="84">
        <v>2</v>
      </c>
    </row>
    <row r="31" spans="1:20" ht="15">
      <c r="A31" s="85" t="s">
        <v>3555</v>
      </c>
      <c r="B31" s="84">
        <v>172</v>
      </c>
      <c r="C31" s="84" t="s">
        <v>3555</v>
      </c>
      <c r="D31" s="84">
        <v>53</v>
      </c>
      <c r="E31" s="84" t="s">
        <v>3559</v>
      </c>
      <c r="F31" s="84">
        <v>36</v>
      </c>
      <c r="G31" s="84" t="s">
        <v>3558</v>
      </c>
      <c r="H31" s="84">
        <v>34</v>
      </c>
      <c r="I31" s="84" t="s">
        <v>3555</v>
      </c>
      <c r="J31" s="84">
        <v>34</v>
      </c>
      <c r="K31" s="84" t="s">
        <v>3556</v>
      </c>
      <c r="L31" s="84">
        <v>14</v>
      </c>
      <c r="M31" s="84" t="s">
        <v>3556</v>
      </c>
      <c r="N31" s="84">
        <v>28</v>
      </c>
      <c r="O31" s="84" t="s">
        <v>3567</v>
      </c>
      <c r="P31" s="84">
        <v>17</v>
      </c>
      <c r="Q31" s="84"/>
      <c r="R31" s="84"/>
      <c r="S31" s="84"/>
      <c r="T31" s="84"/>
    </row>
    <row r="32" spans="1:20" ht="15">
      <c r="A32" s="85" t="s">
        <v>3556</v>
      </c>
      <c r="B32" s="84">
        <v>162</v>
      </c>
      <c r="C32" s="84" t="s">
        <v>3556</v>
      </c>
      <c r="D32" s="84">
        <v>46</v>
      </c>
      <c r="E32" s="84" t="s">
        <v>3560</v>
      </c>
      <c r="F32" s="84">
        <v>31</v>
      </c>
      <c r="G32" s="84" t="s">
        <v>3561</v>
      </c>
      <c r="H32" s="84">
        <v>30</v>
      </c>
      <c r="I32" s="84" t="s">
        <v>3554</v>
      </c>
      <c r="J32" s="84">
        <v>27</v>
      </c>
      <c r="K32" s="84" t="s">
        <v>3580</v>
      </c>
      <c r="L32" s="84">
        <v>11</v>
      </c>
      <c r="M32" s="84" t="s">
        <v>3562</v>
      </c>
      <c r="N32" s="84">
        <v>24</v>
      </c>
      <c r="O32" s="84" t="s">
        <v>3583</v>
      </c>
      <c r="P32" s="84">
        <v>17</v>
      </c>
      <c r="Q32" s="84"/>
      <c r="R32" s="84"/>
      <c r="S32" s="84"/>
      <c r="T32" s="84"/>
    </row>
    <row r="33" spans="1:20" ht="15">
      <c r="A33" s="85" t="s">
        <v>3557</v>
      </c>
      <c r="B33" s="84">
        <v>154</v>
      </c>
      <c r="C33" s="84" t="s">
        <v>3564</v>
      </c>
      <c r="D33" s="84">
        <v>45</v>
      </c>
      <c r="E33" s="84" t="s">
        <v>3570</v>
      </c>
      <c r="F33" s="84">
        <v>29</v>
      </c>
      <c r="G33" s="84" t="s">
        <v>3560</v>
      </c>
      <c r="H33" s="84">
        <v>27</v>
      </c>
      <c r="I33" s="84" t="s">
        <v>3558</v>
      </c>
      <c r="J33" s="84">
        <v>25</v>
      </c>
      <c r="K33" s="84" t="s">
        <v>3554</v>
      </c>
      <c r="L33" s="84">
        <v>11</v>
      </c>
      <c r="M33" s="84" t="s">
        <v>3583</v>
      </c>
      <c r="N33" s="84">
        <v>24</v>
      </c>
      <c r="O33" s="84" t="s">
        <v>3560</v>
      </c>
      <c r="P33" s="84">
        <v>15</v>
      </c>
      <c r="Q33" s="84"/>
      <c r="R33" s="84"/>
      <c r="S33" s="84"/>
      <c r="T33" s="84"/>
    </row>
    <row r="34" spans="1:20" ht="15">
      <c r="A34" s="85" t="s">
        <v>3558</v>
      </c>
      <c r="B34" s="84">
        <v>153</v>
      </c>
      <c r="C34" s="84" t="s">
        <v>3558</v>
      </c>
      <c r="D34" s="84">
        <v>36</v>
      </c>
      <c r="E34" s="84" t="s">
        <v>3558</v>
      </c>
      <c r="F34" s="84">
        <v>28</v>
      </c>
      <c r="G34" s="84" t="s">
        <v>3571</v>
      </c>
      <c r="H34" s="84">
        <v>24</v>
      </c>
      <c r="I34" s="84" t="s">
        <v>3557</v>
      </c>
      <c r="J34" s="84">
        <v>23</v>
      </c>
      <c r="K34" s="84" t="s">
        <v>3561</v>
      </c>
      <c r="L34" s="84">
        <v>11</v>
      </c>
      <c r="M34" s="84" t="s">
        <v>3557</v>
      </c>
      <c r="N34" s="84">
        <v>22</v>
      </c>
      <c r="O34" s="84" t="s">
        <v>3585</v>
      </c>
      <c r="P34" s="84">
        <v>15</v>
      </c>
      <c r="Q34" s="84"/>
      <c r="R34" s="84"/>
      <c r="S34" s="84"/>
      <c r="T34" s="84"/>
    </row>
    <row r="35" spans="1:20" ht="15">
      <c r="A35" s="85" t="s">
        <v>3559</v>
      </c>
      <c r="B35" s="84">
        <v>132</v>
      </c>
      <c r="C35" s="84" t="s">
        <v>3565</v>
      </c>
      <c r="D35" s="84">
        <v>35</v>
      </c>
      <c r="E35" s="84" t="s">
        <v>3555</v>
      </c>
      <c r="F35" s="84">
        <v>26</v>
      </c>
      <c r="G35" s="84" t="s">
        <v>3573</v>
      </c>
      <c r="H35" s="84">
        <v>24</v>
      </c>
      <c r="I35" s="84" t="s">
        <v>3561</v>
      </c>
      <c r="J35" s="84">
        <v>22</v>
      </c>
      <c r="K35" s="84" t="s">
        <v>3581</v>
      </c>
      <c r="L35" s="84">
        <v>10</v>
      </c>
      <c r="M35" s="84" t="s">
        <v>3555</v>
      </c>
      <c r="N35" s="84">
        <v>21</v>
      </c>
      <c r="O35" s="84" t="s">
        <v>3586</v>
      </c>
      <c r="P35" s="84">
        <v>15</v>
      </c>
      <c r="Q35" s="84"/>
      <c r="R35" s="84"/>
      <c r="S35" s="84"/>
      <c r="T35" s="84"/>
    </row>
    <row r="36" spans="1:20" ht="15">
      <c r="A36" s="85" t="s">
        <v>3560</v>
      </c>
      <c r="B36" s="84">
        <v>125</v>
      </c>
      <c r="C36" s="84" t="s">
        <v>3562</v>
      </c>
      <c r="D36" s="84">
        <v>34</v>
      </c>
      <c r="E36" s="84" t="s">
        <v>3571</v>
      </c>
      <c r="F36" s="84">
        <v>25</v>
      </c>
      <c r="G36" s="84" t="s">
        <v>3556</v>
      </c>
      <c r="H36" s="84">
        <v>22</v>
      </c>
      <c r="I36" s="84" t="s">
        <v>3576</v>
      </c>
      <c r="J36" s="84">
        <v>21</v>
      </c>
      <c r="K36" s="84" t="s">
        <v>3562</v>
      </c>
      <c r="L36" s="84">
        <v>10</v>
      </c>
      <c r="M36" s="84" t="s">
        <v>3570</v>
      </c>
      <c r="N36" s="84">
        <v>19</v>
      </c>
      <c r="O36" s="84" t="s">
        <v>3587</v>
      </c>
      <c r="P36" s="84">
        <v>12</v>
      </c>
      <c r="Q36" s="84"/>
      <c r="R36" s="84"/>
      <c r="S36" s="84"/>
      <c r="T36" s="84"/>
    </row>
    <row r="37" spans="1:20" ht="15">
      <c r="A37" s="85" t="s">
        <v>3561</v>
      </c>
      <c r="B37" s="84">
        <v>124</v>
      </c>
      <c r="C37" s="84" t="s">
        <v>3566</v>
      </c>
      <c r="D37" s="84">
        <v>32</v>
      </c>
      <c r="E37" s="84" t="s">
        <v>3554</v>
      </c>
      <c r="F37" s="84">
        <v>24</v>
      </c>
      <c r="G37" s="84" t="s">
        <v>3574</v>
      </c>
      <c r="H37" s="84">
        <v>22</v>
      </c>
      <c r="I37" s="84" t="s">
        <v>3577</v>
      </c>
      <c r="J37" s="84">
        <v>19</v>
      </c>
      <c r="K37" s="84" t="s">
        <v>3573</v>
      </c>
      <c r="L37" s="84">
        <v>10</v>
      </c>
      <c r="M37" s="84" t="s">
        <v>3558</v>
      </c>
      <c r="N37" s="84">
        <v>18</v>
      </c>
      <c r="O37" s="84" t="s">
        <v>3588</v>
      </c>
      <c r="P37" s="84">
        <v>11</v>
      </c>
      <c r="Q37" s="84"/>
      <c r="R37" s="84"/>
      <c r="S37" s="84"/>
      <c r="T37" s="84"/>
    </row>
    <row r="38" spans="1:20" ht="15">
      <c r="A38" s="85" t="s">
        <v>3562</v>
      </c>
      <c r="B38" s="84">
        <v>119</v>
      </c>
      <c r="C38" s="84" t="s">
        <v>3567</v>
      </c>
      <c r="D38" s="84">
        <v>32</v>
      </c>
      <c r="E38" s="84" t="s">
        <v>3557</v>
      </c>
      <c r="F38" s="84">
        <v>23</v>
      </c>
      <c r="G38" s="84" t="s">
        <v>3559</v>
      </c>
      <c r="H38" s="84">
        <v>21</v>
      </c>
      <c r="I38" s="84" t="s">
        <v>3560</v>
      </c>
      <c r="J38" s="84">
        <v>16</v>
      </c>
      <c r="K38" s="84" t="s">
        <v>3555</v>
      </c>
      <c r="L38" s="84">
        <v>9</v>
      </c>
      <c r="M38" s="84" t="s">
        <v>3571</v>
      </c>
      <c r="N38" s="84">
        <v>18</v>
      </c>
      <c r="O38" s="84" t="s">
        <v>3589</v>
      </c>
      <c r="P38" s="84">
        <v>11</v>
      </c>
      <c r="Q38" s="84"/>
      <c r="R38" s="84"/>
      <c r="S38" s="84"/>
      <c r="T38" s="84"/>
    </row>
    <row r="41" spans="1:20" ht="15" customHeight="1">
      <c r="A41" s="13" t="s">
        <v>3601</v>
      </c>
      <c r="B41" s="13" t="s">
        <v>3458</v>
      </c>
      <c r="C41" s="13" t="s">
        <v>3612</v>
      </c>
      <c r="D41" s="13" t="s">
        <v>3465</v>
      </c>
      <c r="E41" s="13" t="s">
        <v>3616</v>
      </c>
      <c r="F41" s="13" t="s">
        <v>3469</v>
      </c>
      <c r="G41" s="13" t="s">
        <v>3625</v>
      </c>
      <c r="H41" s="13" t="s">
        <v>3473</v>
      </c>
      <c r="I41" s="13" t="s">
        <v>3631</v>
      </c>
      <c r="J41" s="13" t="s">
        <v>3485</v>
      </c>
      <c r="K41" s="13" t="s">
        <v>3636</v>
      </c>
      <c r="L41" s="13" t="s">
        <v>3489</v>
      </c>
      <c r="M41" s="13" t="s">
        <v>3644</v>
      </c>
      <c r="N41" s="13" t="s">
        <v>3498</v>
      </c>
      <c r="O41" s="13" t="s">
        <v>3648</v>
      </c>
      <c r="P41" s="13" t="s">
        <v>3510</v>
      </c>
      <c r="Q41" s="81" t="s">
        <v>3653</v>
      </c>
      <c r="R41" s="81" t="s">
        <v>3512</v>
      </c>
      <c r="S41" s="81" t="s">
        <v>3654</v>
      </c>
      <c r="T41" s="81" t="s">
        <v>3513</v>
      </c>
    </row>
    <row r="42" spans="1:20" ht="15">
      <c r="A42" s="84" t="s">
        <v>3602</v>
      </c>
      <c r="B42" s="84">
        <v>92</v>
      </c>
      <c r="C42" s="84" t="s">
        <v>3602</v>
      </c>
      <c r="D42" s="84">
        <v>27</v>
      </c>
      <c r="E42" s="84" t="s">
        <v>3602</v>
      </c>
      <c r="F42" s="84">
        <v>18</v>
      </c>
      <c r="G42" s="84" t="s">
        <v>3605</v>
      </c>
      <c r="H42" s="84">
        <v>16</v>
      </c>
      <c r="I42" s="84" t="s">
        <v>3602</v>
      </c>
      <c r="J42" s="84">
        <v>18</v>
      </c>
      <c r="K42" s="84" t="s">
        <v>3633</v>
      </c>
      <c r="L42" s="84">
        <v>7</v>
      </c>
      <c r="M42" s="84" t="s">
        <v>3604</v>
      </c>
      <c r="N42" s="84">
        <v>19</v>
      </c>
      <c r="O42" s="84" t="s">
        <v>3603</v>
      </c>
      <c r="P42" s="84">
        <v>7</v>
      </c>
      <c r="Q42" s="84"/>
      <c r="R42" s="84"/>
      <c r="S42" s="84"/>
      <c r="T42" s="84"/>
    </row>
    <row r="43" spans="1:20" ht="15">
      <c r="A43" s="85" t="s">
        <v>3603</v>
      </c>
      <c r="B43" s="84">
        <v>66</v>
      </c>
      <c r="C43" s="84" t="s">
        <v>3606</v>
      </c>
      <c r="D43" s="84">
        <v>20</v>
      </c>
      <c r="E43" s="84" t="s">
        <v>3617</v>
      </c>
      <c r="F43" s="84">
        <v>11</v>
      </c>
      <c r="G43" s="84" t="s">
        <v>3603</v>
      </c>
      <c r="H43" s="84">
        <v>16</v>
      </c>
      <c r="I43" s="84" t="s">
        <v>3611</v>
      </c>
      <c r="J43" s="84">
        <v>14</v>
      </c>
      <c r="K43" s="84" t="s">
        <v>3604</v>
      </c>
      <c r="L43" s="84">
        <v>6</v>
      </c>
      <c r="M43" s="84" t="s">
        <v>3603</v>
      </c>
      <c r="N43" s="84">
        <v>13</v>
      </c>
      <c r="O43" s="84" t="s">
        <v>3606</v>
      </c>
      <c r="P43" s="84">
        <v>6</v>
      </c>
      <c r="Q43" s="84"/>
      <c r="R43" s="84"/>
      <c r="S43" s="84"/>
      <c r="T43" s="84"/>
    </row>
    <row r="44" spans="1:20" ht="15">
      <c r="A44" s="85" t="s">
        <v>3604</v>
      </c>
      <c r="B44" s="84">
        <v>50</v>
      </c>
      <c r="C44" s="84" t="s">
        <v>3608</v>
      </c>
      <c r="D44" s="84">
        <v>16</v>
      </c>
      <c r="E44" s="84" t="s">
        <v>3603</v>
      </c>
      <c r="F44" s="84">
        <v>10</v>
      </c>
      <c r="G44" s="84" t="s">
        <v>3602</v>
      </c>
      <c r="H44" s="84">
        <v>14</v>
      </c>
      <c r="I44" s="84" t="s">
        <v>3607</v>
      </c>
      <c r="J44" s="84">
        <v>11</v>
      </c>
      <c r="K44" s="84" t="s">
        <v>3637</v>
      </c>
      <c r="L44" s="84">
        <v>6</v>
      </c>
      <c r="M44" s="84" t="s">
        <v>3602</v>
      </c>
      <c r="N44" s="84">
        <v>9</v>
      </c>
      <c r="O44" s="84" t="s">
        <v>3649</v>
      </c>
      <c r="P44" s="84">
        <v>5</v>
      </c>
      <c r="Q44" s="84"/>
      <c r="R44" s="84"/>
      <c r="S44" s="84"/>
      <c r="T44" s="84"/>
    </row>
    <row r="45" spans="1:20" ht="15">
      <c r="A45" s="85" t="s">
        <v>3605</v>
      </c>
      <c r="B45" s="84">
        <v>46</v>
      </c>
      <c r="C45" s="84" t="s">
        <v>3613</v>
      </c>
      <c r="D45" s="84">
        <v>15</v>
      </c>
      <c r="E45" s="84" t="s">
        <v>3618</v>
      </c>
      <c r="F45" s="84">
        <v>8</v>
      </c>
      <c r="G45" s="84" t="s">
        <v>3626</v>
      </c>
      <c r="H45" s="84">
        <v>12</v>
      </c>
      <c r="I45" s="84" t="s">
        <v>3609</v>
      </c>
      <c r="J45" s="84">
        <v>10</v>
      </c>
      <c r="K45" s="84" t="s">
        <v>3638</v>
      </c>
      <c r="L45" s="84">
        <v>4</v>
      </c>
      <c r="M45" s="84" t="s">
        <v>3605</v>
      </c>
      <c r="N45" s="84">
        <v>8</v>
      </c>
      <c r="O45" s="84" t="s">
        <v>3650</v>
      </c>
      <c r="P45" s="84">
        <v>5</v>
      </c>
      <c r="Q45" s="84"/>
      <c r="R45" s="84"/>
      <c r="S45" s="84"/>
      <c r="T45" s="84"/>
    </row>
    <row r="46" spans="1:20" ht="15">
      <c r="A46" s="85" t="s">
        <v>3606</v>
      </c>
      <c r="B46" s="84">
        <v>43</v>
      </c>
      <c r="C46" s="84" t="s">
        <v>3603</v>
      </c>
      <c r="D46" s="84">
        <v>15</v>
      </c>
      <c r="E46" s="84" t="s">
        <v>3619</v>
      </c>
      <c r="F46" s="84">
        <v>6</v>
      </c>
      <c r="G46" s="84" t="s">
        <v>3604</v>
      </c>
      <c r="H46" s="84">
        <v>10</v>
      </c>
      <c r="I46" s="84" t="s">
        <v>3632</v>
      </c>
      <c r="J46" s="84">
        <v>5</v>
      </c>
      <c r="K46" s="84" t="s">
        <v>3639</v>
      </c>
      <c r="L46" s="84">
        <v>4</v>
      </c>
      <c r="M46" s="84" t="s">
        <v>3606</v>
      </c>
      <c r="N46" s="84">
        <v>7</v>
      </c>
      <c r="O46" s="84" t="s">
        <v>3602</v>
      </c>
      <c r="P46" s="84">
        <v>5</v>
      </c>
      <c r="Q46" s="84"/>
      <c r="R46" s="84"/>
      <c r="S46" s="84"/>
      <c r="T46" s="84"/>
    </row>
    <row r="47" spans="1:20" ht="15">
      <c r="A47" s="85" t="s">
        <v>3607</v>
      </c>
      <c r="B47" s="84">
        <v>32</v>
      </c>
      <c r="C47" s="84" t="s">
        <v>3614</v>
      </c>
      <c r="D47" s="84">
        <v>14</v>
      </c>
      <c r="E47" s="84" t="s">
        <v>3620</v>
      </c>
      <c r="F47" s="84">
        <v>6</v>
      </c>
      <c r="G47" s="84" t="s">
        <v>3627</v>
      </c>
      <c r="H47" s="84">
        <v>8</v>
      </c>
      <c r="I47" s="84" t="s">
        <v>3633</v>
      </c>
      <c r="J47" s="84">
        <v>5</v>
      </c>
      <c r="K47" s="84" t="s">
        <v>3640</v>
      </c>
      <c r="L47" s="84">
        <v>4</v>
      </c>
      <c r="M47" s="84" t="s">
        <v>3610</v>
      </c>
      <c r="N47" s="84">
        <v>7</v>
      </c>
      <c r="O47" s="84" t="s">
        <v>3604</v>
      </c>
      <c r="P47" s="84">
        <v>5</v>
      </c>
      <c r="Q47" s="84"/>
      <c r="R47" s="84"/>
      <c r="S47" s="84"/>
      <c r="T47" s="84"/>
    </row>
    <row r="48" spans="1:20" ht="15">
      <c r="A48" s="85" t="s">
        <v>3608</v>
      </c>
      <c r="B48" s="84">
        <v>31</v>
      </c>
      <c r="C48" s="84" t="s">
        <v>3615</v>
      </c>
      <c r="D48" s="84">
        <v>12</v>
      </c>
      <c r="E48" s="84" t="s">
        <v>3621</v>
      </c>
      <c r="F48" s="84">
        <v>6</v>
      </c>
      <c r="G48" s="84" t="s">
        <v>3619</v>
      </c>
      <c r="H48" s="84">
        <v>8</v>
      </c>
      <c r="I48" s="84" t="s">
        <v>3634</v>
      </c>
      <c r="J48" s="84">
        <v>5</v>
      </c>
      <c r="K48" s="84" t="s">
        <v>3641</v>
      </c>
      <c r="L48" s="84">
        <v>4</v>
      </c>
      <c r="M48" s="84" t="s">
        <v>3645</v>
      </c>
      <c r="N48" s="84">
        <v>5</v>
      </c>
      <c r="O48" s="84" t="s">
        <v>3633</v>
      </c>
      <c r="P48" s="84">
        <v>5</v>
      </c>
      <c r="Q48" s="84"/>
      <c r="R48" s="84"/>
      <c r="S48" s="84"/>
      <c r="T48" s="84"/>
    </row>
    <row r="49" spans="1:20" ht="15">
      <c r="A49" s="85" t="s">
        <v>3609</v>
      </c>
      <c r="B49" s="84">
        <v>27</v>
      </c>
      <c r="C49" s="84" t="s">
        <v>3611</v>
      </c>
      <c r="D49" s="84">
        <v>8</v>
      </c>
      <c r="E49" s="84" t="s">
        <v>3622</v>
      </c>
      <c r="F49" s="84">
        <v>5</v>
      </c>
      <c r="G49" s="84" t="s">
        <v>3628</v>
      </c>
      <c r="H49" s="84">
        <v>7</v>
      </c>
      <c r="I49" s="84" t="s">
        <v>3605</v>
      </c>
      <c r="J49" s="84">
        <v>5</v>
      </c>
      <c r="K49" s="84" t="s">
        <v>3609</v>
      </c>
      <c r="L49" s="84">
        <v>4</v>
      </c>
      <c r="M49" s="84" t="s">
        <v>3646</v>
      </c>
      <c r="N49" s="84">
        <v>5</v>
      </c>
      <c r="O49" s="84" t="s">
        <v>3605</v>
      </c>
      <c r="P49" s="84">
        <v>4</v>
      </c>
      <c r="Q49" s="84"/>
      <c r="R49" s="84"/>
      <c r="S49" s="84"/>
      <c r="T49" s="84"/>
    </row>
    <row r="50" spans="1:20" ht="15">
      <c r="A50" s="85" t="s">
        <v>3610</v>
      </c>
      <c r="B50" s="84">
        <v>27</v>
      </c>
      <c r="C50" s="84" t="s">
        <v>3607</v>
      </c>
      <c r="D50" s="84">
        <v>8</v>
      </c>
      <c r="E50" s="84" t="s">
        <v>3623</v>
      </c>
      <c r="F50" s="84">
        <v>5</v>
      </c>
      <c r="G50" s="84" t="s">
        <v>3629</v>
      </c>
      <c r="H50" s="84">
        <v>6</v>
      </c>
      <c r="I50" s="84" t="s">
        <v>3635</v>
      </c>
      <c r="J50" s="84">
        <v>5</v>
      </c>
      <c r="K50" s="84" t="s">
        <v>3642</v>
      </c>
      <c r="L50" s="84">
        <v>4</v>
      </c>
      <c r="M50" s="84" t="s">
        <v>3647</v>
      </c>
      <c r="N50" s="84">
        <v>5</v>
      </c>
      <c r="O50" s="84" t="s">
        <v>3651</v>
      </c>
      <c r="P50" s="84">
        <v>4</v>
      </c>
      <c r="Q50" s="84"/>
      <c r="R50" s="84"/>
      <c r="S50" s="84"/>
      <c r="T50" s="84"/>
    </row>
    <row r="51" spans="1:20" ht="15">
      <c r="A51" s="85" t="s">
        <v>3611</v>
      </c>
      <c r="B51" s="84">
        <v>27</v>
      </c>
      <c r="C51" s="84" t="s">
        <v>3610</v>
      </c>
      <c r="D51" s="84">
        <v>8</v>
      </c>
      <c r="E51" s="84" t="s">
        <v>3624</v>
      </c>
      <c r="F51" s="84">
        <v>5</v>
      </c>
      <c r="G51" s="84" t="s">
        <v>3630</v>
      </c>
      <c r="H51" s="84">
        <v>6</v>
      </c>
      <c r="I51" s="84" t="s">
        <v>3603</v>
      </c>
      <c r="J51" s="84">
        <v>4</v>
      </c>
      <c r="K51" s="84" t="s">
        <v>3643</v>
      </c>
      <c r="L51" s="84">
        <v>4</v>
      </c>
      <c r="M51" s="84" t="s">
        <v>3633</v>
      </c>
      <c r="N51" s="84">
        <v>4</v>
      </c>
      <c r="O51" s="84" t="s">
        <v>3652</v>
      </c>
      <c r="P51" s="84">
        <v>4</v>
      </c>
      <c r="Q51" s="84"/>
      <c r="R51" s="84"/>
      <c r="S51" s="84"/>
      <c r="T51" s="84"/>
    </row>
  </sheetData>
  <hyperlinks>
    <hyperlink ref="A2" r:id="rId1" display="https://www.safa.sa.gov.au/environmental-s-governance/energy"/>
    <hyperlink ref="A3" r:id="rId2" display="https://youtu.be/GtgaXD0Rr9g?si=aYXnyQXCB5uhyoI7"/>
    <hyperlink ref="A4" r:id="rId3" display="https://www.youtube.com/watch?v=_bAfHi_rH7Y"/>
    <hyperlink ref="A5" r:id="rId4" display="https://youtu.be/YbnXMv19Hck?si=BRAmhFMIqKkn0-aO"/>
    <hyperlink ref="A6" r:id="rId5" display="https://www.energymonitor.ai/tech/renewables/europe-renewables-in-2022-in-five-charts-and-what-to-expect-in-2023"/>
    <hyperlink ref="A7" r:id="rId6" display="https://www.cleanairalliance.org/old-and-unsafe"/>
    <hyperlink ref="A8" r:id="rId7" display="https://www.youtube.com/watch?v=htoNuyYjNwg"/>
    <hyperlink ref="A9" r:id="rId8" display="https://www.youtube.com/watch?v=G3GDuCF_pbI"/>
    <hyperlink ref="A10" r:id="rId9" display="https://www.youtube.com/watch?v=MlTnMbGVRlw"/>
    <hyperlink ref="A11" r:id="rId10" display="https://www.youtube.com/watch?v=gl2OcZpTKqE"/>
    <hyperlink ref="C2" r:id="rId11" display="https://www.safa.sa.gov.au/environmental-s-governance/energy"/>
    <hyperlink ref="C3" r:id="rId12" display="https://www.energymonitor.ai/tech/renewables/europe-renewables-in-2022-in-five-charts-and-what-to-expect-in-2023"/>
    <hyperlink ref="C4" r:id="rId13" display="https://www.cleanairalliance.org/old-and-unsafe"/>
    <hyperlink ref="C5" r:id="rId14" display="https://www.youtube.com/watch?v=htoNuyYjNwg"/>
    <hyperlink ref="C6" r:id="rId15" display="https://www.youtube.com/watch?v=75c-kHKv0O4&amp;amp;t=3m17s"/>
    <hyperlink ref="C7" r:id="rId16" display="https://www.youtube.com/watch?v=75c-kHKv0O4&amp;amp;t=10m30s"/>
    <hyperlink ref="C8" r:id="rId17" display="http://farts.no/"/>
    <hyperlink ref="C9" r:id="rId18" display="https://www.youtube.com/watch?v=yBF2fGUO5cQ&amp;amp;t=8m52s"/>
    <hyperlink ref="E2" r:id="rId19" display="https://www.youtube.com/watch?v=za6dE5JrNB0&amp;amp;t=13m00s"/>
    <hyperlink ref="E3" r:id="rId20" display="https://www.youtube.com/watch?v=za6dE5JrNB0&amp;amp;t=2m30s"/>
    <hyperlink ref="G2" r:id="rId21" display="https://youtu.be/GtgaXD0Rr9g?si=aYXnyQXCB5uhyoI7"/>
    <hyperlink ref="G3" r:id="rId22" display="https://www.youtube.com/watch?v=_bAfHi_rH7Y"/>
    <hyperlink ref="G4" r:id="rId23" display="https://youtu.be/YbnXMv19Hck?si=BRAmhFMIqKkn0-aO"/>
    <hyperlink ref="G5" r:id="rId24" display="http://backup.at/"/>
    <hyperlink ref="G6" r:id="rId25" display="https://www.youtube.com/watch?v=FdMiVnA6Az0&amp;amp;t=10m11s"/>
    <hyperlink ref="I2" r:id="rId26" display="https://www.youtube.com/watch?v=E39neWnw9AA&amp;amp;t=00m06s"/>
    <hyperlink ref="I3" r:id="rId27" display="https://www.youtube.com/watch?v=E39neWnw9AA&amp;amp;t=03m32s"/>
    <hyperlink ref="I4" r:id="rId28" display="https://www.youtube.com/watch?v=E39neWnw9AA&amp;amp;t=06m10s"/>
    <hyperlink ref="I5" r:id="rId29" display="https://www.youtube.com/watch?v=E39neWnw9AA&amp;amp;t=08m40s"/>
    <hyperlink ref="I6" r:id="rId30" display="https://www.youtube.com/watch?v=E39neWnw9AA&amp;amp;t=11m04s"/>
    <hyperlink ref="I7" r:id="rId31" display="https://www.youtube.com/watch?v=E39neWnw9AA&amp;amp;t=13m27s"/>
    <hyperlink ref="I8" r:id="rId32" display="https://www.youtube.com/watch?v=E39neWnw9AA&amp;amp;t=15m47s"/>
    <hyperlink ref="I9" r:id="rId33" display="https://www.youtube.com/watch?v=E39neWnw9AA&amp;amp;t=18m06s"/>
    <hyperlink ref="I10" r:id="rId34" display="https://www.youtube.com/watch?v=E39neWnw9AA&amp;amp;t=2m43s"/>
    <hyperlink ref="I11" r:id="rId35" display="https://www.youtube.com/watch?v=E39neWnw9AA&amp;amp;t=5m37s"/>
    <hyperlink ref="K2" r:id="rId36" display="https://www.youtube.com/watch?v=UVf2Yw7uFoE&amp;amp;t=33m10s"/>
    <hyperlink ref="K3" r:id="rId37" display="https://www.youtube.com/watch?v=UVf2Yw7uFoE&amp;amp;t=25m03s"/>
    <hyperlink ref="M2" r:id="rId38" display="https://www.youtube.com/watch?v=G3GDuCF_pbI"/>
    <hyperlink ref="M3" r:id="rId39" display="https://www.youtube.com/watch?v=MlTnMbGVRlw"/>
    <hyperlink ref="M4" r:id="rId40" display="https://www.youtube.com/watch?v=gl2OcZpTKqE"/>
    <hyperlink ref="M5" r:id="rId41" display="https://www.youtube.com/watch?v=KehRZMSIwSw"/>
    <hyperlink ref="M6" r:id="rId42" display="https://www.youtube.com/watch?v=W0PJcRLzmdU"/>
    <hyperlink ref="M7" r:id="rId43" display="https://www.youtube.com/watch?v=ic03mjYxPBc"/>
    <hyperlink ref="M8" r:id="rId44" display="https://www.youtube.com/watch?v=_4OniZKnIv4"/>
    <hyperlink ref="M9" r:id="rId45" display="https://www.youtube.com/watch?v=PhTynXqTdeY"/>
    <hyperlink ref="M10" r:id="rId46" display="https://www.youtube.com/watch?v=ydSKmaCewo4"/>
    <hyperlink ref="M11" r:id="rId47" display="https://www.youtube.com/watch?v=6qtdM6vQSvo"/>
    <hyperlink ref="O2" r:id="rId48" display="https://www.youtube.com/watch?v=v2nhssPW77I&amp;amp;t=1s"/>
    <hyperlink ref="O3" r:id="rId49" display="https://www.youtube.com/watch?v=5HL1BEC024g"/>
    <hyperlink ref="O4" r:id="rId50" display="https://www.youtube.com/watch?v=FdMiVnA6Az0&amp;amp;t=00m00s"/>
    <hyperlink ref="O5" r:id="rId51" display="https://www.youtube.com/watch?v=FdMiVnA6Az0&amp;amp;t=01m21s"/>
    <hyperlink ref="O6" r:id="rId52" display="https://www.youtube.com/watch?v=FdMiVnA6Az0&amp;amp;t=02m42s"/>
    <hyperlink ref="O7" r:id="rId53" display="https://www.youtube.com/watch?v=FdMiVnA6Az0&amp;amp;t=03m37s"/>
    <hyperlink ref="O8" r:id="rId54" display="https://www.youtube.com/watch?v=FdMiVnA6Az0&amp;amp;t=05m01s"/>
    <hyperlink ref="O9" r:id="rId55" display="https://www.youtube.com/watch?v=FdMiVnA6Az0&amp;amp;t=07m22s"/>
    <hyperlink ref="O10" r:id="rId56" display="https://www.youtube.com/watch?v=FdMiVnA6Az0&amp;amp;t=09m30s"/>
    <hyperlink ref="O11" r:id="rId57" display="https://www.youtube.com/watch?v=FdMiVnA6Az0&amp;amp;t=11m21s"/>
  </hyperlinks>
  <printOptions/>
  <pageMargins left="0.7" right="0.7" top="0.75" bottom="0.75" header="0.3" footer="0.3"/>
  <pageSetup orientation="portrait" paperSize="9"/>
  <tableParts>
    <tablePart r:id="rId58"/>
    <tablePart r:id="rId60"/>
    <tablePart r:id="rId59"/>
    <tablePart r:id="rId61"/>
    <tablePart r:id="rId6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702"/>
  <sheetViews>
    <sheetView tabSelected="1" workbookViewId="0" topLeftCell="A1">
      <pane xSplit="1" ySplit="2" topLeftCell="B3" activePane="bottomRight" state="frozen"/>
      <selection pane="topRight" activeCell="B1" sqref="B1"/>
      <selection pane="bottomLeft" activeCell="A3" sqref="A3"/>
      <selection pane="bottomRight" activeCell="A2" sqref="A2:B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7.00390625" style="3" customWidth="1"/>
    <col min="29" max="29" width="16.00390625" style="6" customWidth="1"/>
    <col min="30" max="30" width="7.28125" style="2" customWidth="1"/>
    <col min="31" max="31" width="13.421875" style="3" customWidth="1"/>
    <col min="32" max="32" width="12.8515625" style="3" customWidth="1"/>
    <col min="33" max="33" width="16.421875" style="3" customWidth="1"/>
    <col min="34" max="34" width="14.28125" style="3" customWidth="1"/>
    <col min="35" max="35" width="10.00390625" style="0" customWidth="1"/>
    <col min="36" max="36" width="14.57421875" style="0" customWidth="1"/>
    <col min="37" max="37" width="12.7109375" style="0" customWidth="1"/>
    <col min="38" max="38" width="8.57421875" style="0" customWidth="1"/>
    <col min="39" max="39" width="12.00390625" style="0" customWidth="1"/>
    <col min="40" max="40" width="12.57421875" style="0" customWidth="1"/>
    <col min="41" max="41" width="19.7109375" style="0" customWidth="1"/>
    <col min="42" max="42" width="8.57421875" style="0" customWidth="1"/>
    <col min="43" max="43" width="10.421875" style="0" customWidth="1"/>
    <col min="44" max="44" width="9.140625" style="0" customWidth="1"/>
    <col min="45" max="46" width="15.7109375" style="0" customWidth="1"/>
    <col min="47" max="47" width="9.7109375" style="0" customWidth="1"/>
    <col min="48" max="49" width="19.28125" style="0" customWidth="1"/>
    <col min="50" max="50" width="20.57421875" style="0" customWidth="1"/>
    <col min="51" max="51" width="22.7109375" style="0" customWidth="1"/>
    <col min="52" max="52" width="20.57421875" style="0" customWidth="1"/>
    <col min="53" max="53" width="22.7109375" style="0" customWidth="1"/>
    <col min="54" max="54" width="20.57421875" style="0" customWidth="1"/>
    <col min="55" max="55" width="22.7109375" style="0" customWidth="1"/>
    <col min="56" max="56" width="20.57421875" style="0" customWidth="1"/>
    <col min="57" max="57" width="22.710937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2424</v>
      </c>
      <c r="AE2" s="13" t="s">
        <v>2425</v>
      </c>
      <c r="AF2" s="13" t="s">
        <v>198</v>
      </c>
      <c r="AG2" s="13" t="s">
        <v>199</v>
      </c>
      <c r="AH2" s="13" t="s">
        <v>200</v>
      </c>
      <c r="AI2" s="13" t="s">
        <v>2426</v>
      </c>
      <c r="AJ2" s="13" t="s">
        <v>206</v>
      </c>
      <c r="AK2" s="13" t="s">
        <v>2427</v>
      </c>
      <c r="AL2" s="13" t="s">
        <v>2428</v>
      </c>
      <c r="AM2" s="13" t="s">
        <v>2429</v>
      </c>
      <c r="AN2" s="13" t="s">
        <v>2430</v>
      </c>
      <c r="AO2" s="13" t="s">
        <v>2431</v>
      </c>
      <c r="AP2" s="13" t="s">
        <v>2432</v>
      </c>
      <c r="AQ2" s="13" t="s">
        <v>2433</v>
      </c>
      <c r="AR2" s="13" t="s">
        <v>2434</v>
      </c>
      <c r="AS2" s="13" t="s">
        <v>2435</v>
      </c>
      <c r="AT2" s="13" t="s">
        <v>2436</v>
      </c>
      <c r="AU2" s="13" t="s">
        <v>3400</v>
      </c>
      <c r="AV2" s="116" t="s">
        <v>3663</v>
      </c>
      <c r="AW2" s="116" t="s">
        <v>3674</v>
      </c>
      <c r="AX2" s="116" t="s">
        <v>3679</v>
      </c>
      <c r="AY2" s="116" t="s">
        <v>3681</v>
      </c>
      <c r="AZ2" s="116" t="s">
        <v>3682</v>
      </c>
      <c r="BA2" s="116" t="s">
        <v>3683</v>
      </c>
      <c r="BB2" s="116" t="s">
        <v>3684</v>
      </c>
      <c r="BC2" s="116" t="s">
        <v>4357</v>
      </c>
      <c r="BD2" s="116" t="s">
        <v>4388</v>
      </c>
      <c r="BE2" s="116" t="s">
        <v>5037</v>
      </c>
      <c r="BF2" s="3"/>
      <c r="BG2" s="3"/>
    </row>
    <row r="3" spans="1:59" ht="15" customHeight="1">
      <c r="A3" s="66" t="s">
        <v>901</v>
      </c>
      <c r="B3" s="67"/>
      <c r="C3" s="67">
        <v>11</v>
      </c>
      <c r="D3" s="68">
        <v>5000</v>
      </c>
      <c r="E3" s="70"/>
      <c r="F3" s="105" t="str">
        <f>HYPERLINK("https://yt3.ggpht.com/y_esGAQOhX4rTpWvrALErAJlFbm_2TIVrvcVfcZny7TuA8dJZgOQcC6KRfd_J5hljFe-foYXj9U=s88-c-k-c0x00ffffff-no-rj")</f>
        <v>https://yt3.ggpht.com/y_esGAQOhX4rTpWvrALErAJlFbm_2TIVrvcVfcZny7TuA8dJZgOQcC6KRfd_J5hljFe-foYXj9U=s88-c-k-c0x00ffffff-no-rj</v>
      </c>
      <c r="G3" s="67"/>
      <c r="H3" s="66" t="s">
        <v>2495</v>
      </c>
      <c r="I3" s="72"/>
      <c r="J3" s="72" t="s">
        <v>75</v>
      </c>
      <c r="K3" s="71" t="s">
        <v>2495</v>
      </c>
      <c r="L3" s="75">
        <v>9999</v>
      </c>
      <c r="M3" s="76">
        <v>4923.859375</v>
      </c>
      <c r="N3" s="76">
        <v>2855.752197265625</v>
      </c>
      <c r="O3" s="77"/>
      <c r="P3" s="78"/>
      <c r="Q3" s="78"/>
      <c r="R3" s="90"/>
      <c r="S3" s="49">
        <v>97</v>
      </c>
      <c r="T3" s="49">
        <v>1</v>
      </c>
      <c r="U3" s="50">
        <v>237711.47619</v>
      </c>
      <c r="V3" s="50">
        <v>0.344637</v>
      </c>
      <c r="W3" s="51"/>
      <c r="X3" s="51"/>
      <c r="Y3" s="51"/>
      <c r="Z3" s="50"/>
      <c r="AA3" s="73">
        <v>3</v>
      </c>
      <c r="AB3" s="73"/>
      <c r="AC3" s="74"/>
      <c r="AD3" s="81" t="s">
        <v>2495</v>
      </c>
      <c r="AE3" s="81" t="s">
        <v>3140</v>
      </c>
      <c r="AF3" s="81"/>
      <c r="AG3" s="81"/>
      <c r="AH3" s="81"/>
      <c r="AI3" s="81" t="s">
        <v>3241</v>
      </c>
      <c r="AJ3" s="88">
        <v>38815.535474537035</v>
      </c>
      <c r="AK3" s="86" t="str">
        <f>HYPERLINK("https://yt3.ggpht.com/y_esGAQOhX4rTpWvrALErAJlFbm_2TIVrvcVfcZny7TuA8dJZgOQcC6KRfd_J5hljFe-foYXj9U=s88-c-k-c0x00ffffff-no-rj")</f>
        <v>https://yt3.ggpht.com/y_esGAQOhX4rTpWvrALErAJlFbm_2TIVrvcVfcZny7TuA8dJZgOQcC6KRfd_J5hljFe-foYXj9U=s88-c-k-c0x00ffffff-no-rj</v>
      </c>
      <c r="AL3" s="81">
        <v>5057072425</v>
      </c>
      <c r="AM3" s="81">
        <v>0</v>
      </c>
      <c r="AN3" s="81">
        <v>15500000</v>
      </c>
      <c r="AO3" s="81" t="b">
        <v>0</v>
      </c>
      <c r="AP3" s="81">
        <v>20431</v>
      </c>
      <c r="AQ3" s="81"/>
      <c r="AR3" s="81"/>
      <c r="AS3" s="81" t="s">
        <v>3378</v>
      </c>
      <c r="AT3" s="86" t="str">
        <f>HYPERLINK("https://www.youtube.com/channel/UC16niRr50-MSBwiO3YDb3RA")</f>
        <v>https://www.youtube.com/channel/UC16niRr50-MSBwiO3YDb3RA</v>
      </c>
      <c r="AU3" s="81" t="str">
        <f>REPLACE(INDEX(GroupVertices[Group],MATCH("~"&amp;Vertices[[#This Row],[Vertex]],GroupVertices[Vertex],0)),1,1,"")</f>
        <v>6</v>
      </c>
      <c r="AV3" s="49"/>
      <c r="AW3" s="49"/>
      <c r="AX3" s="49"/>
      <c r="AY3" s="49"/>
      <c r="AZ3" s="49"/>
      <c r="BA3" s="49"/>
      <c r="BB3" s="117" t="s">
        <v>2423</v>
      </c>
      <c r="BC3" s="117" t="s">
        <v>2423</v>
      </c>
      <c r="BD3" s="117" t="s">
        <v>2423</v>
      </c>
      <c r="BE3" s="117" t="s">
        <v>2423</v>
      </c>
      <c r="BF3" s="3"/>
      <c r="BG3" s="3"/>
    </row>
    <row r="4" spans="1:62" ht="15">
      <c r="A4" s="66" t="s">
        <v>907</v>
      </c>
      <c r="B4" s="67"/>
      <c r="C4" s="67">
        <v>11</v>
      </c>
      <c r="D4" s="68">
        <v>5000</v>
      </c>
      <c r="E4" s="70"/>
      <c r="F4" s="105" t="str">
        <f>HYPERLINK("https://yt3.ggpht.com/g6g20SQZ_J0SliRlIfpP3s_AWygeBOaxOC_KFsXNOveqKr7A-HZ3W4T2b4CDVJMMxMJgUsa8R40=s88-c-k-c0x00ffffff-no-rj")</f>
        <v>https://yt3.ggpht.com/g6g20SQZ_J0SliRlIfpP3s_AWygeBOaxOC_KFsXNOveqKr7A-HZ3W4T2b4CDVJMMxMJgUsa8R40=s88-c-k-c0x00ffffff-no-rj</v>
      </c>
      <c r="G4" s="67"/>
      <c r="H4" s="66" t="s">
        <v>2675</v>
      </c>
      <c r="I4" s="72"/>
      <c r="J4" s="72" t="s">
        <v>75</v>
      </c>
      <c r="K4" s="71" t="s">
        <v>2675</v>
      </c>
      <c r="L4" s="75">
        <v>8805.566773963881</v>
      </c>
      <c r="M4" s="76">
        <v>1938.7999267578125</v>
      </c>
      <c r="N4" s="76">
        <v>6765.91943359375</v>
      </c>
      <c r="O4" s="77"/>
      <c r="P4" s="78"/>
      <c r="Q4" s="78"/>
      <c r="R4" s="90"/>
      <c r="S4" s="49">
        <v>174</v>
      </c>
      <c r="T4" s="49">
        <v>1</v>
      </c>
      <c r="U4" s="50">
        <v>209336.52381</v>
      </c>
      <c r="V4" s="50">
        <v>0.302511</v>
      </c>
      <c r="W4" s="51"/>
      <c r="X4" s="51"/>
      <c r="Y4" s="51"/>
      <c r="Z4" s="50"/>
      <c r="AA4" s="73">
        <v>4</v>
      </c>
      <c r="AB4" s="73"/>
      <c r="AC4" s="74"/>
      <c r="AD4" s="81" t="s">
        <v>2675</v>
      </c>
      <c r="AE4" s="81" t="s">
        <v>3166</v>
      </c>
      <c r="AF4" s="81"/>
      <c r="AG4" s="81"/>
      <c r="AH4" s="81"/>
      <c r="AI4" s="81" t="s">
        <v>3284</v>
      </c>
      <c r="AJ4" s="88">
        <v>45178.13170138889</v>
      </c>
      <c r="AK4" s="86" t="str">
        <f>HYPERLINK("https://yt3.ggpht.com/g6g20SQZ_J0SliRlIfpP3s_AWygeBOaxOC_KFsXNOveqKr7A-HZ3W4T2b4CDVJMMxMJgUsa8R40=s88-c-k-c0x00ffffff-no-rj")</f>
        <v>https://yt3.ggpht.com/g6g20SQZ_J0SliRlIfpP3s_AWygeBOaxOC_KFsXNOveqKr7A-HZ3W4T2b4CDVJMMxMJgUsa8R40=s88-c-k-c0x00ffffff-no-rj</v>
      </c>
      <c r="AL4" s="81">
        <v>138729</v>
      </c>
      <c r="AM4" s="81">
        <v>0</v>
      </c>
      <c r="AN4" s="81">
        <v>7070</v>
      </c>
      <c r="AO4" s="81" t="b">
        <v>0</v>
      </c>
      <c r="AP4" s="81">
        <v>19</v>
      </c>
      <c r="AQ4" s="81"/>
      <c r="AR4" s="81"/>
      <c r="AS4" s="81" t="s">
        <v>3378</v>
      </c>
      <c r="AT4" s="86" t="str">
        <f>HYPERLINK("https://www.youtube.com/channel/UC613iBZ6bzD5T58pWzurQ3g")</f>
        <v>https://www.youtube.com/channel/UC613iBZ6bzD5T58pWzurQ3g</v>
      </c>
      <c r="AU4" s="81" t="str">
        <f>REPLACE(INDEX(GroupVertices[Group],MATCH("~"&amp;Vertices[[#This Row],[Vertex]],GroupVertices[Vertex],0)),1,1,"")</f>
        <v>1</v>
      </c>
      <c r="AV4" s="49"/>
      <c r="AW4" s="49"/>
      <c r="AX4" s="49"/>
      <c r="AY4" s="49"/>
      <c r="AZ4" s="49"/>
      <c r="BA4" s="49"/>
      <c r="BB4" s="117" t="s">
        <v>2423</v>
      </c>
      <c r="BC4" s="117" t="s">
        <v>2423</v>
      </c>
      <c r="BD4" s="117" t="s">
        <v>2423</v>
      </c>
      <c r="BE4" s="117" t="s">
        <v>2423</v>
      </c>
      <c r="BF4" s="2"/>
      <c r="BG4" s="3"/>
      <c r="BH4" s="3"/>
      <c r="BI4" s="3"/>
      <c r="BJ4" s="3"/>
    </row>
    <row r="5" spans="1:62" ht="15">
      <c r="A5" s="66" t="s">
        <v>902</v>
      </c>
      <c r="B5" s="67"/>
      <c r="C5" s="67">
        <v>11</v>
      </c>
      <c r="D5" s="68">
        <v>5000</v>
      </c>
      <c r="E5" s="70"/>
      <c r="F5" s="105" t="str">
        <f>HYPERLINK("https://yt3.ggpht.com/ytc/AIf8zZRsKkvMeLiEAQKJBkNYQkxodhqpUcyNRuuWDMpZtXM=s88-c-k-c0x00ffffff-no-rj")</f>
        <v>https://yt3.ggpht.com/ytc/AIf8zZRsKkvMeLiEAQKJBkNYQkxodhqpUcyNRuuWDMpZtXM=s88-c-k-c0x00ffffff-no-rj</v>
      </c>
      <c r="G5" s="67"/>
      <c r="H5" s="66" t="s">
        <v>2582</v>
      </c>
      <c r="I5" s="72"/>
      <c r="J5" s="72" t="s">
        <v>75</v>
      </c>
      <c r="K5" s="71" t="s">
        <v>2582</v>
      </c>
      <c r="L5" s="75">
        <v>5603.104833742231</v>
      </c>
      <c r="M5" s="76">
        <v>8427.8466796875</v>
      </c>
      <c r="N5" s="76">
        <v>7802.49755859375</v>
      </c>
      <c r="O5" s="77"/>
      <c r="P5" s="78"/>
      <c r="Q5" s="78"/>
      <c r="R5" s="90"/>
      <c r="S5" s="49">
        <v>95</v>
      </c>
      <c r="T5" s="49">
        <v>1</v>
      </c>
      <c r="U5" s="50">
        <v>133195.1</v>
      </c>
      <c r="V5" s="50">
        <v>0.284139</v>
      </c>
      <c r="W5" s="51"/>
      <c r="X5" s="51"/>
      <c r="Y5" s="51"/>
      <c r="Z5" s="50"/>
      <c r="AA5" s="73">
        <v>5</v>
      </c>
      <c r="AB5" s="73"/>
      <c r="AC5" s="74"/>
      <c r="AD5" s="81" t="s">
        <v>2582</v>
      </c>
      <c r="AE5" s="81" t="s">
        <v>3155</v>
      </c>
      <c r="AF5" s="81"/>
      <c r="AG5" s="81"/>
      <c r="AH5" s="81"/>
      <c r="AI5" s="81" t="s">
        <v>3261</v>
      </c>
      <c r="AJ5" s="88">
        <v>39896.053032407406</v>
      </c>
      <c r="AK5" s="86" t="str">
        <f>HYPERLINK("https://yt3.ggpht.com/ytc/AIf8zZRsKkvMeLiEAQKJBkNYQkxodhqpUcyNRuuWDMpZtXM=s88-c-k-c0x00ffffff-no-rj")</f>
        <v>https://yt3.ggpht.com/ytc/AIf8zZRsKkvMeLiEAQKJBkNYQkxodhqpUcyNRuuWDMpZtXM=s88-c-k-c0x00ffffff-no-rj</v>
      </c>
      <c r="AL5" s="81">
        <v>328615764</v>
      </c>
      <c r="AM5" s="81">
        <v>0</v>
      </c>
      <c r="AN5" s="81">
        <v>3260000</v>
      </c>
      <c r="AO5" s="81" t="b">
        <v>0</v>
      </c>
      <c r="AP5" s="81">
        <v>600</v>
      </c>
      <c r="AQ5" s="81"/>
      <c r="AR5" s="81"/>
      <c r="AS5" s="81" t="s">
        <v>3378</v>
      </c>
      <c r="AT5" s="86" t="str">
        <f>HYPERLINK("https://www.youtube.com/channel/UC0p5jTq6Xx_DosDFxVXnWaQ")</f>
        <v>https://www.youtube.com/channel/UC0p5jTq6Xx_DosDFxVXnWaQ</v>
      </c>
      <c r="AU5" s="81" t="str">
        <f>REPLACE(INDEX(GroupVertices[Group],MATCH("~"&amp;Vertices[[#This Row],[Vertex]],GroupVertices[Vertex],0)),1,1,"")</f>
        <v>4</v>
      </c>
      <c r="AV5" s="49"/>
      <c r="AW5" s="49"/>
      <c r="AX5" s="49"/>
      <c r="AY5" s="49"/>
      <c r="AZ5" s="49"/>
      <c r="BA5" s="49"/>
      <c r="BB5" s="117" t="s">
        <v>2423</v>
      </c>
      <c r="BC5" s="117" t="s">
        <v>2423</v>
      </c>
      <c r="BD5" s="117" t="s">
        <v>2423</v>
      </c>
      <c r="BE5" s="117" t="s">
        <v>2423</v>
      </c>
      <c r="BF5" s="2"/>
      <c r="BG5" s="3"/>
      <c r="BH5" s="3"/>
      <c r="BI5" s="3"/>
      <c r="BJ5" s="3"/>
    </row>
    <row r="6" spans="1:62" ht="15">
      <c r="A6" s="66" t="s">
        <v>905</v>
      </c>
      <c r="B6" s="67"/>
      <c r="C6" s="67">
        <v>11</v>
      </c>
      <c r="D6" s="68">
        <v>5000</v>
      </c>
      <c r="E6" s="70"/>
      <c r="F6" s="105" t="str">
        <f>HYPERLINK("https://yt3.ggpht.com/ytc/AIf8zZSzWW_eRt_wcp6hGsTxwOnmAml365eUL4qcg-voTA=s88-c-k-c0x00ffffff-no-rj")</f>
        <v>https://yt3.ggpht.com/ytc/AIf8zZSzWW_eRt_wcp6hGsTxwOnmAml365eUL4qcg-voTA=s88-c-k-c0x00ffffff-no-rj</v>
      </c>
      <c r="G6" s="67"/>
      <c r="H6" s="66" t="s">
        <v>2855</v>
      </c>
      <c r="I6" s="72"/>
      <c r="J6" s="72" t="s">
        <v>75</v>
      </c>
      <c r="K6" s="71" t="s">
        <v>2855</v>
      </c>
      <c r="L6" s="75">
        <v>5133.5902404538265</v>
      </c>
      <c r="M6" s="76">
        <v>1920.7984619140625</v>
      </c>
      <c r="N6" s="76">
        <v>1872.5657958984375</v>
      </c>
      <c r="O6" s="77"/>
      <c r="P6" s="78"/>
      <c r="Q6" s="78"/>
      <c r="R6" s="90"/>
      <c r="S6" s="49">
        <v>98</v>
      </c>
      <c r="T6" s="49">
        <v>1</v>
      </c>
      <c r="U6" s="50">
        <v>122031.966667</v>
      </c>
      <c r="V6" s="50">
        <v>0.283432</v>
      </c>
      <c r="W6" s="51"/>
      <c r="X6" s="51"/>
      <c r="Y6" s="51"/>
      <c r="Z6" s="50"/>
      <c r="AA6" s="73">
        <v>6</v>
      </c>
      <c r="AB6" s="73"/>
      <c r="AC6" s="74"/>
      <c r="AD6" s="81" t="s">
        <v>2855</v>
      </c>
      <c r="AE6" s="81" t="s">
        <v>3187</v>
      </c>
      <c r="AF6" s="81"/>
      <c r="AG6" s="81"/>
      <c r="AH6" s="81"/>
      <c r="AI6" s="81" t="s">
        <v>3317</v>
      </c>
      <c r="AJ6" s="88">
        <v>39058.268842592595</v>
      </c>
      <c r="AK6" s="86" t="str">
        <f>HYPERLINK("https://yt3.ggpht.com/ytc/AIf8zZSzWW_eRt_wcp6hGsTxwOnmAml365eUL4qcg-voTA=s88-c-k-c0x00ffffff-no-rj")</f>
        <v>https://yt3.ggpht.com/ytc/AIf8zZSzWW_eRt_wcp6hGsTxwOnmAml365eUL4qcg-voTA=s88-c-k-c0x00ffffff-no-rj</v>
      </c>
      <c r="AL6" s="81">
        <v>2645234139</v>
      </c>
      <c r="AM6" s="81">
        <v>0</v>
      </c>
      <c r="AN6" s="81">
        <v>23900000</v>
      </c>
      <c r="AO6" s="81" t="b">
        <v>0</v>
      </c>
      <c r="AP6" s="81">
        <v>4595</v>
      </c>
      <c r="AQ6" s="81"/>
      <c r="AR6" s="81"/>
      <c r="AS6" s="81" t="s">
        <v>3378</v>
      </c>
      <c r="AT6" s="86" t="str">
        <f>HYPERLINK("https://www.youtube.com/channel/UCAuUUnT6oDeKwE6v1NGQxug")</f>
        <v>https://www.youtube.com/channel/UCAuUUnT6oDeKwE6v1NGQxug</v>
      </c>
      <c r="AU6" s="81" t="str">
        <f>REPLACE(INDEX(GroupVertices[Group],MATCH("~"&amp;Vertices[[#This Row],[Vertex]],GroupVertices[Vertex],0)),1,1,"")</f>
        <v>2</v>
      </c>
      <c r="AV6" s="49"/>
      <c r="AW6" s="49"/>
      <c r="AX6" s="49"/>
      <c r="AY6" s="49"/>
      <c r="AZ6" s="49"/>
      <c r="BA6" s="49"/>
      <c r="BB6" s="117" t="s">
        <v>2423</v>
      </c>
      <c r="BC6" s="117" t="s">
        <v>2423</v>
      </c>
      <c r="BD6" s="117" t="s">
        <v>2423</v>
      </c>
      <c r="BE6" s="117" t="s">
        <v>2423</v>
      </c>
      <c r="BF6" s="2"/>
      <c r="BG6" s="3"/>
      <c r="BH6" s="3"/>
      <c r="BI6" s="3"/>
      <c r="BJ6" s="3"/>
    </row>
    <row r="7" spans="1:62" ht="15">
      <c r="A7" s="66" t="s">
        <v>903</v>
      </c>
      <c r="B7" s="67"/>
      <c r="C7" s="67">
        <v>11</v>
      </c>
      <c r="D7" s="68">
        <v>5000</v>
      </c>
      <c r="E7" s="70"/>
      <c r="F7" s="105" t="str">
        <f>HYPERLINK("https://yt3.ggpht.com/nsBqnkHyBzSXxRXyLgKYwpt-MMGBSyzc4oFxmgmJzeqf0eLOOEed1jGG3goENoJpPfhKyKW6Pk0=s88-c-k-c0x00ffffff-no-rj")</f>
        <v>https://yt3.ggpht.com/nsBqnkHyBzSXxRXyLgKYwpt-MMGBSyzc4oFxmgmJzeqf0eLOOEed1jGG3goENoJpPfhKyKW6Pk0=s88-c-k-c0x00ffffff-no-rj</v>
      </c>
      <c r="G7" s="67"/>
      <c r="H7" s="66" t="s">
        <v>2756</v>
      </c>
      <c r="I7" s="72"/>
      <c r="J7" s="72" t="s">
        <v>75</v>
      </c>
      <c r="K7" s="71" t="s">
        <v>2756</v>
      </c>
      <c r="L7" s="75">
        <v>5063.200444234144</v>
      </c>
      <c r="M7" s="76">
        <v>5358.578125</v>
      </c>
      <c r="N7" s="76">
        <v>7809.71875</v>
      </c>
      <c r="O7" s="77"/>
      <c r="P7" s="78"/>
      <c r="Q7" s="78"/>
      <c r="R7" s="90"/>
      <c r="S7" s="49">
        <v>96</v>
      </c>
      <c r="T7" s="49">
        <v>1</v>
      </c>
      <c r="U7" s="50">
        <v>120358.385714</v>
      </c>
      <c r="V7" s="50">
        <v>0.265373</v>
      </c>
      <c r="W7" s="51"/>
      <c r="X7" s="51"/>
      <c r="Y7" s="51"/>
      <c r="Z7" s="50"/>
      <c r="AA7" s="73">
        <v>7</v>
      </c>
      <c r="AB7" s="73"/>
      <c r="AC7" s="74"/>
      <c r="AD7" s="81" t="s">
        <v>2756</v>
      </c>
      <c r="AE7" s="81" t="s">
        <v>3175</v>
      </c>
      <c r="AF7" s="81"/>
      <c r="AG7" s="81"/>
      <c r="AH7" s="81"/>
      <c r="AI7" s="81" t="s">
        <v>3299</v>
      </c>
      <c r="AJ7" s="88">
        <v>43150.139328703706</v>
      </c>
      <c r="AK7" s="86" t="str">
        <f>HYPERLINK("https://yt3.ggpht.com/nsBqnkHyBzSXxRXyLgKYwpt-MMGBSyzc4oFxmgmJzeqf0eLOOEed1jGG3goENoJpPfhKyKW6Pk0=s88-c-k-c0x00ffffff-no-rj")</f>
        <v>https://yt3.ggpht.com/nsBqnkHyBzSXxRXyLgKYwpt-MMGBSyzc4oFxmgmJzeqf0eLOOEed1jGG3goENoJpPfhKyKW6Pk0=s88-c-k-c0x00ffffff-no-rj</v>
      </c>
      <c r="AL7" s="81">
        <v>53170336</v>
      </c>
      <c r="AM7" s="81">
        <v>0</v>
      </c>
      <c r="AN7" s="81">
        <v>545000</v>
      </c>
      <c r="AO7" s="81" t="b">
        <v>0</v>
      </c>
      <c r="AP7" s="81">
        <v>292</v>
      </c>
      <c r="AQ7" s="81"/>
      <c r="AR7" s="81"/>
      <c r="AS7" s="81" t="s">
        <v>3378</v>
      </c>
      <c r="AT7" s="86" t="str">
        <f>HYPERLINK("https://www.youtube.com/channel/UCRBwLPbXGsI2cJe9W1zfSjQ")</f>
        <v>https://www.youtube.com/channel/UCRBwLPbXGsI2cJe9W1zfSjQ</v>
      </c>
      <c r="AU7" s="81" t="str">
        <f>REPLACE(INDEX(GroupVertices[Group],MATCH("~"&amp;Vertices[[#This Row],[Vertex]],GroupVertices[Vertex],0)),1,1,"")</f>
        <v>3</v>
      </c>
      <c r="AV7" s="49"/>
      <c r="AW7" s="49"/>
      <c r="AX7" s="49"/>
      <c r="AY7" s="49"/>
      <c r="AZ7" s="49"/>
      <c r="BA7" s="49"/>
      <c r="BB7" s="117" t="s">
        <v>2423</v>
      </c>
      <c r="BC7" s="117" t="s">
        <v>2423</v>
      </c>
      <c r="BD7" s="117" t="s">
        <v>2423</v>
      </c>
      <c r="BE7" s="117" t="s">
        <v>2423</v>
      </c>
      <c r="BF7" s="2"/>
      <c r="BG7" s="3"/>
      <c r="BH7" s="3"/>
      <c r="BI7" s="3"/>
      <c r="BJ7" s="3"/>
    </row>
    <row r="8" spans="1:62" ht="15">
      <c r="A8" s="66" t="s">
        <v>899</v>
      </c>
      <c r="B8" s="67"/>
      <c r="C8" s="67">
        <v>11</v>
      </c>
      <c r="D8" s="68">
        <v>5000</v>
      </c>
      <c r="E8" s="70"/>
      <c r="F8" s="105" t="str">
        <f>HYPERLINK("https://yt3.ggpht.com/ytc/AIf8zZQwMbgPS33IVChHlznptYjIpxzM3In7S2sTekZa=s88-c-k-c0x00ffffff-no-rj")</f>
        <v>https://yt3.ggpht.com/ytc/AIf8zZQwMbgPS33IVChHlznptYjIpxzM3In7S2sTekZa=s88-c-k-c0x00ffffff-no-rj</v>
      </c>
      <c r="G8" s="67"/>
      <c r="H8" s="66" t="s">
        <v>2437</v>
      </c>
      <c r="I8" s="72"/>
      <c r="J8" s="72" t="s">
        <v>75</v>
      </c>
      <c r="K8" s="71" t="s">
        <v>2437</v>
      </c>
      <c r="L8" s="75">
        <v>4665.521288506143</v>
      </c>
      <c r="M8" s="76">
        <v>9116.345703125</v>
      </c>
      <c r="N8" s="76">
        <v>3177.712890625</v>
      </c>
      <c r="O8" s="77"/>
      <c r="P8" s="78"/>
      <c r="Q8" s="78"/>
      <c r="R8" s="90"/>
      <c r="S8" s="49">
        <v>60</v>
      </c>
      <c r="T8" s="49">
        <v>1</v>
      </c>
      <c r="U8" s="50">
        <v>110903.204762</v>
      </c>
      <c r="V8" s="50">
        <v>0.297246</v>
      </c>
      <c r="W8" s="51"/>
      <c r="X8" s="51"/>
      <c r="Y8" s="51"/>
      <c r="Z8" s="50"/>
      <c r="AA8" s="73">
        <v>8</v>
      </c>
      <c r="AB8" s="73"/>
      <c r="AC8" s="74"/>
      <c r="AD8" s="81" t="s">
        <v>2437</v>
      </c>
      <c r="AE8" s="81" t="s">
        <v>3132</v>
      </c>
      <c r="AF8" s="81"/>
      <c r="AG8" s="81"/>
      <c r="AH8" s="81"/>
      <c r="AI8" s="81" t="s">
        <v>3227</v>
      </c>
      <c r="AJ8" s="88">
        <v>40932.89487268519</v>
      </c>
      <c r="AK8" s="86" t="str">
        <f>HYPERLINK("https://yt3.ggpht.com/ytc/AIf8zZQwMbgPS33IVChHlznptYjIpxzM3In7S2sTekZa=s88-c-k-c0x00ffffff-no-rj")</f>
        <v>https://yt3.ggpht.com/ytc/AIf8zZQwMbgPS33IVChHlznptYjIpxzM3In7S2sTekZa=s88-c-k-c0x00ffffff-no-rj</v>
      </c>
      <c r="AL8" s="81">
        <v>1905645</v>
      </c>
      <c r="AM8" s="81">
        <v>0</v>
      </c>
      <c r="AN8" s="81">
        <v>11600</v>
      </c>
      <c r="AO8" s="81" t="b">
        <v>0</v>
      </c>
      <c r="AP8" s="81">
        <v>311</v>
      </c>
      <c r="AQ8" s="81"/>
      <c r="AR8" s="81"/>
      <c r="AS8" s="81" t="s">
        <v>3378</v>
      </c>
      <c r="AT8" s="86" t="str">
        <f>HYPERLINK("https://www.youtube.com/channel/UCYUDN01unUhjKXOYTzxOWCA")</f>
        <v>https://www.youtube.com/channel/UCYUDN01unUhjKXOYTzxOWCA</v>
      </c>
      <c r="AU8" s="81" t="str">
        <f>REPLACE(INDEX(GroupVertices[Group],MATCH("~"&amp;Vertices[[#This Row],[Vertex]],GroupVertices[Vertex],0)),1,1,"")</f>
        <v>7</v>
      </c>
      <c r="AV8" s="49"/>
      <c r="AW8" s="49"/>
      <c r="AX8" s="49"/>
      <c r="AY8" s="49"/>
      <c r="AZ8" s="49"/>
      <c r="BA8" s="49"/>
      <c r="BB8" s="117" t="s">
        <v>2423</v>
      </c>
      <c r="BC8" s="117" t="s">
        <v>2423</v>
      </c>
      <c r="BD8" s="117" t="s">
        <v>2423</v>
      </c>
      <c r="BE8" s="117" t="s">
        <v>2423</v>
      </c>
      <c r="BF8" s="2"/>
      <c r="BG8" s="3"/>
      <c r="BH8" s="3"/>
      <c r="BI8" s="3"/>
      <c r="BJ8" s="3"/>
    </row>
    <row r="9" spans="1:62" ht="15">
      <c r="A9" s="66" t="s">
        <v>906</v>
      </c>
      <c r="B9" s="67"/>
      <c r="C9" s="67">
        <v>11</v>
      </c>
      <c r="D9" s="68">
        <v>5000</v>
      </c>
      <c r="E9" s="70"/>
      <c r="F9" s="105" t="str">
        <f>HYPERLINK("https://yt3.ggpht.com/ytc/AIf8zZTnz7pmtsuODrNvIsJ3TixVxBzcS59pDvpwOGw8yw=s88-c-k-c0x00ffffff-no-rj")</f>
        <v>https://yt3.ggpht.com/ytc/AIf8zZTnz7pmtsuODrNvIsJ3TixVxBzcS59pDvpwOGw8yw=s88-c-k-c0x00ffffff-no-rj</v>
      </c>
      <c r="G9" s="67"/>
      <c r="H9" s="66" t="s">
        <v>2951</v>
      </c>
      <c r="I9" s="72"/>
      <c r="J9" s="72" t="s">
        <v>75</v>
      </c>
      <c r="K9" s="71" t="s">
        <v>2951</v>
      </c>
      <c r="L9" s="75">
        <v>4647.946271123092</v>
      </c>
      <c r="M9" s="76">
        <v>7172.65380859375</v>
      </c>
      <c r="N9" s="76">
        <v>2912.593017578125</v>
      </c>
      <c r="O9" s="77"/>
      <c r="P9" s="78"/>
      <c r="Q9" s="78"/>
      <c r="R9" s="90"/>
      <c r="S9" s="49">
        <v>90</v>
      </c>
      <c r="T9" s="49">
        <v>1</v>
      </c>
      <c r="U9" s="50">
        <v>110485.342857</v>
      </c>
      <c r="V9" s="50">
        <v>0.251314</v>
      </c>
      <c r="W9" s="51"/>
      <c r="X9" s="51"/>
      <c r="Y9" s="51"/>
      <c r="Z9" s="50"/>
      <c r="AA9" s="73">
        <v>9</v>
      </c>
      <c r="AB9" s="73"/>
      <c r="AC9" s="74"/>
      <c r="AD9" s="81" t="s">
        <v>2951</v>
      </c>
      <c r="AE9" s="81" t="s">
        <v>3198</v>
      </c>
      <c r="AF9" s="81"/>
      <c r="AG9" s="81"/>
      <c r="AH9" s="81"/>
      <c r="AI9" s="81" t="s">
        <v>3340</v>
      </c>
      <c r="AJ9" s="88">
        <v>42696.80425925926</v>
      </c>
      <c r="AK9" s="86" t="str">
        <f>HYPERLINK("https://yt3.ggpht.com/ytc/AIf8zZTnz7pmtsuODrNvIsJ3TixVxBzcS59pDvpwOGw8yw=s88-c-k-c0x00ffffff-no-rj")</f>
        <v>https://yt3.ggpht.com/ytc/AIf8zZTnz7pmtsuODrNvIsJ3TixVxBzcS59pDvpwOGw8yw=s88-c-k-c0x00ffffff-no-rj</v>
      </c>
      <c r="AL9" s="81">
        <v>777670122</v>
      </c>
      <c r="AM9" s="81">
        <v>0</v>
      </c>
      <c r="AN9" s="81">
        <v>5320000</v>
      </c>
      <c r="AO9" s="81" t="b">
        <v>0</v>
      </c>
      <c r="AP9" s="81">
        <v>1074</v>
      </c>
      <c r="AQ9" s="81"/>
      <c r="AR9" s="81"/>
      <c r="AS9" s="81" t="s">
        <v>3378</v>
      </c>
      <c r="AT9" s="86" t="str">
        <f>HYPERLINK("https://www.youtube.com/channel/UCW39zufHfsuGgpLviKh297Q")</f>
        <v>https://www.youtube.com/channel/UCW39zufHfsuGgpLviKh297Q</v>
      </c>
      <c r="AU9" s="81" t="str">
        <f>REPLACE(INDEX(GroupVertices[Group],MATCH("~"&amp;Vertices[[#This Row],[Vertex]],GroupVertices[Vertex],0)),1,1,"")</f>
        <v>5</v>
      </c>
      <c r="AV9" s="49"/>
      <c r="AW9" s="49"/>
      <c r="AX9" s="49"/>
      <c r="AY9" s="49"/>
      <c r="AZ9" s="49"/>
      <c r="BA9" s="49"/>
      <c r="BB9" s="117" t="s">
        <v>2423</v>
      </c>
      <c r="BC9" s="117" t="s">
        <v>2423</v>
      </c>
      <c r="BD9" s="117" t="s">
        <v>2423</v>
      </c>
      <c r="BE9" s="117" t="s">
        <v>2423</v>
      </c>
      <c r="BF9" s="2"/>
      <c r="BG9" s="3"/>
      <c r="BH9" s="3"/>
      <c r="BI9" s="3"/>
      <c r="BJ9" s="3"/>
    </row>
    <row r="10" spans="1:62" ht="15">
      <c r="A10" s="66" t="s">
        <v>683</v>
      </c>
      <c r="B10" s="67"/>
      <c r="C10" s="67">
        <v>11</v>
      </c>
      <c r="D10" s="68">
        <v>5000</v>
      </c>
      <c r="E10" s="70"/>
      <c r="F10" s="105" t="str">
        <f>HYPERLINK("https://yt3.ggpht.com/ytc/AIf8zZQQMQDvrITVvd-IX94uE3yw8ckBzXubpmkt8C37=s88-c-k-c0x00ffffff-no-rj")</f>
        <v>https://yt3.ggpht.com/ytc/AIf8zZQQMQDvrITVvd-IX94uE3yw8ckBzXubpmkt8C37=s88-c-k-c0x00ffffff-no-rj</v>
      </c>
      <c r="G10" s="67"/>
      <c r="H10" s="66" t="s">
        <v>2915</v>
      </c>
      <c r="I10" s="72"/>
      <c r="J10" s="72" t="s">
        <v>75</v>
      </c>
      <c r="K10" s="71" t="s">
        <v>2915</v>
      </c>
      <c r="L10" s="75">
        <v>2412.9367868572153</v>
      </c>
      <c r="M10" s="76">
        <v>5966.5234375</v>
      </c>
      <c r="N10" s="76">
        <v>2132.096435546875</v>
      </c>
      <c r="O10" s="77"/>
      <c r="P10" s="78"/>
      <c r="Q10" s="78"/>
      <c r="R10" s="90"/>
      <c r="S10" s="49">
        <v>0</v>
      </c>
      <c r="T10" s="49">
        <v>2</v>
      </c>
      <c r="U10" s="50">
        <v>57345.974603</v>
      </c>
      <c r="V10" s="50">
        <v>0.288581</v>
      </c>
      <c r="W10" s="51"/>
      <c r="X10" s="51"/>
      <c r="Y10" s="51"/>
      <c r="Z10" s="50"/>
      <c r="AA10" s="73">
        <v>10</v>
      </c>
      <c r="AB10" s="73"/>
      <c r="AC10" s="74"/>
      <c r="AD10" s="81" t="s">
        <v>2915</v>
      </c>
      <c r="AE10" s="81"/>
      <c r="AF10" s="81"/>
      <c r="AG10" s="81"/>
      <c r="AH10" s="81"/>
      <c r="AI10" s="81" t="s">
        <v>2149</v>
      </c>
      <c r="AJ10" s="88">
        <v>41594.27449074074</v>
      </c>
      <c r="AK10" s="86" t="str">
        <f>HYPERLINK("https://yt3.ggpht.com/ytc/AIf8zZQQMQDvrITVvd-IX94uE3yw8ckBzXubpmkt8C37=s88-c-k-c0x00ffffff-no-rj")</f>
        <v>https://yt3.ggpht.com/ytc/AIf8zZQQMQDvrITVvd-IX94uE3yw8ckBzXubpmkt8C37=s88-c-k-c0x00ffffff-no-rj</v>
      </c>
      <c r="AL10" s="81">
        <v>0</v>
      </c>
      <c r="AM10" s="81">
        <v>0</v>
      </c>
      <c r="AN10" s="81">
        <v>2</v>
      </c>
      <c r="AO10" s="81" t="b">
        <v>0</v>
      </c>
      <c r="AP10" s="81">
        <v>0</v>
      </c>
      <c r="AQ10" s="81"/>
      <c r="AR10" s="81"/>
      <c r="AS10" s="81" t="s">
        <v>3378</v>
      </c>
      <c r="AT10" s="86" t="str">
        <f>HYPERLINK("https://www.youtube.com/channel/UCSGZgStO6y2d5BSb14cSsYw")</f>
        <v>https://www.youtube.com/channel/UCSGZgStO6y2d5BSb14cSsYw</v>
      </c>
      <c r="AU10" s="81" t="str">
        <f>REPLACE(INDEX(GroupVertices[Group],MATCH("~"&amp;Vertices[[#This Row],[Vertex]],GroupVertices[Vertex],0)),1,1,"")</f>
        <v>6</v>
      </c>
      <c r="AV10" s="49"/>
      <c r="AW10" s="49"/>
      <c r="AX10" s="49"/>
      <c r="AY10" s="49"/>
      <c r="AZ10" s="49"/>
      <c r="BA10" s="49"/>
      <c r="BB10" s="117" t="s">
        <v>4153</v>
      </c>
      <c r="BC10" s="117" t="s">
        <v>4373</v>
      </c>
      <c r="BD10" s="117" t="s">
        <v>4840</v>
      </c>
      <c r="BE10" s="117" t="s">
        <v>4840</v>
      </c>
      <c r="BF10" s="2"/>
      <c r="BG10" s="3"/>
      <c r="BH10" s="3"/>
      <c r="BI10" s="3"/>
      <c r="BJ10" s="3"/>
    </row>
    <row r="11" spans="1:62" ht="15">
      <c r="A11" s="66" t="s">
        <v>605</v>
      </c>
      <c r="B11" s="67"/>
      <c r="C11" s="67">
        <v>11</v>
      </c>
      <c r="D11" s="68">
        <v>5000</v>
      </c>
      <c r="E11" s="70"/>
      <c r="F11" s="105" t="str">
        <f>HYPERLINK("https://yt3.ggpht.com/ytc/AIf8zZQbRV7gQq0v8aLANuk3L5l8g5BxlaYqKL4k2g=s88-c-k-c0x00ffffff-no-rj")</f>
        <v>https://yt3.ggpht.com/ytc/AIf8zZQbRV7gQq0v8aLANuk3L5l8g5BxlaYqKL4k2g=s88-c-k-c0x00ffffff-no-rj</v>
      </c>
      <c r="G11" s="67"/>
      <c r="H11" s="66" t="s">
        <v>2836</v>
      </c>
      <c r="I11" s="72"/>
      <c r="J11" s="72" t="s">
        <v>75</v>
      </c>
      <c r="K11" s="71" t="s">
        <v>2836</v>
      </c>
      <c r="L11" s="75">
        <v>2341.355574974422</v>
      </c>
      <c r="M11" s="76">
        <v>4552.0244140625</v>
      </c>
      <c r="N11" s="76">
        <v>8455.0244140625</v>
      </c>
      <c r="O11" s="77"/>
      <c r="P11" s="78"/>
      <c r="Q11" s="78"/>
      <c r="R11" s="90"/>
      <c r="S11" s="49">
        <v>0</v>
      </c>
      <c r="T11" s="49">
        <v>2</v>
      </c>
      <c r="U11" s="50">
        <v>55644.066667</v>
      </c>
      <c r="V11" s="50">
        <v>0.288094</v>
      </c>
      <c r="W11" s="51"/>
      <c r="X11" s="51"/>
      <c r="Y11" s="51"/>
      <c r="Z11" s="50"/>
      <c r="AA11" s="73">
        <v>11</v>
      </c>
      <c r="AB11" s="73"/>
      <c r="AC11" s="74"/>
      <c r="AD11" s="81" t="s">
        <v>2836</v>
      </c>
      <c r="AE11" s="81"/>
      <c r="AF11" s="81"/>
      <c r="AG11" s="81"/>
      <c r="AH11" s="81"/>
      <c r="AI11" s="81" t="s">
        <v>2071</v>
      </c>
      <c r="AJ11" s="88">
        <v>44020.35570601852</v>
      </c>
      <c r="AK11" s="86" t="str">
        <f>HYPERLINK("https://yt3.ggpht.com/ytc/AIf8zZQbRV7gQq0v8aLANuk3L5l8g5BxlaYqKL4k2g=s88-c-k-c0x00ffffff-no-rj")</f>
        <v>https://yt3.ggpht.com/ytc/AIf8zZQbRV7gQq0v8aLANuk3L5l8g5BxlaYqKL4k2g=s88-c-k-c0x00ffffff-no-rj</v>
      </c>
      <c r="AL11" s="81">
        <v>0</v>
      </c>
      <c r="AM11" s="81">
        <v>0</v>
      </c>
      <c r="AN11" s="81">
        <v>5</v>
      </c>
      <c r="AO11" s="81" t="b">
        <v>0</v>
      </c>
      <c r="AP11" s="81">
        <v>0</v>
      </c>
      <c r="AQ11" s="81"/>
      <c r="AR11" s="81"/>
      <c r="AS11" s="81" t="s">
        <v>3378</v>
      </c>
      <c r="AT11" s="86" t="str">
        <f>HYPERLINK("https://www.youtube.com/channel/UCkvGif7f1894bm64XjVHang")</f>
        <v>https://www.youtube.com/channel/UCkvGif7f1894bm64XjVHang</v>
      </c>
      <c r="AU11" s="81" t="str">
        <f>REPLACE(INDEX(GroupVertices[Group],MATCH("~"&amp;Vertices[[#This Row],[Vertex]],GroupVertices[Vertex],0)),1,1,"")</f>
        <v>3</v>
      </c>
      <c r="AV11" s="49"/>
      <c r="AW11" s="49"/>
      <c r="AX11" s="49"/>
      <c r="AY11" s="49"/>
      <c r="AZ11" s="49"/>
      <c r="BA11" s="49"/>
      <c r="BB11" s="117" t="s">
        <v>4075</v>
      </c>
      <c r="BC11" s="117" t="s">
        <v>4369</v>
      </c>
      <c r="BD11" s="117" t="s">
        <v>4764</v>
      </c>
      <c r="BE11" s="117" t="s">
        <v>4764</v>
      </c>
      <c r="BF11" s="2"/>
      <c r="BG11" s="3"/>
      <c r="BH11" s="3"/>
      <c r="BI11" s="3"/>
      <c r="BJ11" s="3"/>
    </row>
    <row r="12" spans="1:62" ht="15">
      <c r="A12" s="66" t="s">
        <v>458</v>
      </c>
      <c r="B12" s="67"/>
      <c r="C12" s="67">
        <v>11</v>
      </c>
      <c r="D12" s="68">
        <v>5000</v>
      </c>
      <c r="E12" s="70"/>
      <c r="F12" s="105" t="str">
        <f>HYPERLINK("https://yt3.ggpht.com/ytc/AIf8zZSUxe4yHEQIRkIw8TB4AQ58HIOIGQFNC4Oy2WsoFQ=s88-c-k-c0x00ffffff-no-rj")</f>
        <v>https://yt3.ggpht.com/ytc/AIf8zZSUxe4yHEQIRkIw8TB4AQ58HIOIGQFNC4Oy2WsoFQ=s88-c-k-c0x00ffffff-no-rj</v>
      </c>
      <c r="G12" s="67"/>
      <c r="H12" s="66" t="s">
        <v>2689</v>
      </c>
      <c r="I12" s="72"/>
      <c r="J12" s="72" t="s">
        <v>75</v>
      </c>
      <c r="K12" s="71" t="s">
        <v>2689</v>
      </c>
      <c r="L12" s="75">
        <v>2210.1804782265613</v>
      </c>
      <c r="M12" s="76">
        <v>3860.91357421875</v>
      </c>
      <c r="N12" s="76">
        <v>3128.2216796875</v>
      </c>
      <c r="O12" s="77"/>
      <c r="P12" s="78"/>
      <c r="Q12" s="78"/>
      <c r="R12" s="90"/>
      <c r="S12" s="49">
        <v>0</v>
      </c>
      <c r="T12" s="49">
        <v>2</v>
      </c>
      <c r="U12" s="50">
        <v>52525.260317</v>
      </c>
      <c r="V12" s="50">
        <v>0.308106</v>
      </c>
      <c r="W12" s="51"/>
      <c r="X12" s="51"/>
      <c r="Y12" s="51"/>
      <c r="Z12" s="50"/>
      <c r="AA12" s="73">
        <v>12</v>
      </c>
      <c r="AB12" s="73"/>
      <c r="AC12" s="74"/>
      <c r="AD12" s="81" t="s">
        <v>2689</v>
      </c>
      <c r="AE12" s="81"/>
      <c r="AF12" s="81"/>
      <c r="AG12" s="81"/>
      <c r="AH12" s="81"/>
      <c r="AI12" s="81" t="s">
        <v>1924</v>
      </c>
      <c r="AJ12" s="88">
        <v>41094.172106481485</v>
      </c>
      <c r="AK12" s="86" t="str">
        <f>HYPERLINK("https://yt3.ggpht.com/ytc/AIf8zZSUxe4yHEQIRkIw8TB4AQ58HIOIGQFNC4Oy2WsoFQ=s88-c-k-c0x00ffffff-no-rj")</f>
        <v>https://yt3.ggpht.com/ytc/AIf8zZSUxe4yHEQIRkIw8TB4AQ58HIOIGQFNC4Oy2WsoFQ=s88-c-k-c0x00ffffff-no-rj</v>
      </c>
      <c r="AL12" s="81">
        <v>28241</v>
      </c>
      <c r="AM12" s="81">
        <v>0</v>
      </c>
      <c r="AN12" s="81">
        <v>2</v>
      </c>
      <c r="AO12" s="81" t="b">
        <v>0</v>
      </c>
      <c r="AP12" s="81">
        <v>1</v>
      </c>
      <c r="AQ12" s="81"/>
      <c r="AR12" s="81"/>
      <c r="AS12" s="81" t="s">
        <v>3378</v>
      </c>
      <c r="AT12" s="86" t="str">
        <f>HYPERLINK("https://www.youtube.com/channel/UCXjCbnz9v9immQ0REbdqMgw")</f>
        <v>https://www.youtube.com/channel/UCXjCbnz9v9immQ0REbdqMgw</v>
      </c>
      <c r="AU12" s="81" t="str">
        <f>REPLACE(INDEX(GroupVertices[Group],MATCH("~"&amp;Vertices[[#This Row],[Vertex]],GroupVertices[Vertex],0)),1,1,"")</f>
        <v>6</v>
      </c>
      <c r="AV12" s="49"/>
      <c r="AW12" s="49"/>
      <c r="AX12" s="49"/>
      <c r="AY12" s="49"/>
      <c r="AZ12" s="49"/>
      <c r="BA12" s="49"/>
      <c r="BB12" s="117" t="s">
        <v>3930</v>
      </c>
      <c r="BC12" s="117" t="s">
        <v>3930</v>
      </c>
      <c r="BD12" s="117" t="s">
        <v>4624</v>
      </c>
      <c r="BE12" s="117" t="s">
        <v>4624</v>
      </c>
      <c r="BF12" s="2"/>
      <c r="BG12" s="3"/>
      <c r="BH12" s="3"/>
      <c r="BI12" s="3"/>
      <c r="BJ12" s="3"/>
    </row>
    <row r="13" spans="1:62" ht="15">
      <c r="A13" s="66" t="s">
        <v>465</v>
      </c>
      <c r="B13" s="67"/>
      <c r="C13" s="67">
        <v>11</v>
      </c>
      <c r="D13" s="68">
        <v>5000</v>
      </c>
      <c r="E13" s="70"/>
      <c r="F13" s="105" t="str">
        <f>HYPERLINK("https://yt3.ggpht.com/ytc/AIf8zZQ2AQCmyV3lPqHPQv17i7KIJopDIpw_nzezcA=s88-c-k-c0x00ffffff-no-rj")</f>
        <v>https://yt3.ggpht.com/ytc/AIf8zZQ2AQCmyV3lPqHPQv17i7KIJopDIpw_nzezcA=s88-c-k-c0x00ffffff-no-rj</v>
      </c>
      <c r="G13" s="67"/>
      <c r="H13" s="66" t="s">
        <v>2696</v>
      </c>
      <c r="I13" s="72"/>
      <c r="J13" s="72" t="s">
        <v>75</v>
      </c>
      <c r="K13" s="71" t="s">
        <v>2696</v>
      </c>
      <c r="L13" s="75">
        <v>2210.1804782265613</v>
      </c>
      <c r="M13" s="76">
        <v>4975.34765625</v>
      </c>
      <c r="N13" s="76">
        <v>5609.1953125</v>
      </c>
      <c r="O13" s="77"/>
      <c r="P13" s="78"/>
      <c r="Q13" s="78"/>
      <c r="R13" s="90"/>
      <c r="S13" s="49">
        <v>0</v>
      </c>
      <c r="T13" s="49">
        <v>2</v>
      </c>
      <c r="U13" s="50">
        <v>52525.260317</v>
      </c>
      <c r="V13" s="50">
        <v>0.308106</v>
      </c>
      <c r="W13" s="51"/>
      <c r="X13" s="51"/>
      <c r="Y13" s="51"/>
      <c r="Z13" s="50"/>
      <c r="AA13" s="73">
        <v>13</v>
      </c>
      <c r="AB13" s="73"/>
      <c r="AC13" s="74"/>
      <c r="AD13" s="81" t="s">
        <v>2696</v>
      </c>
      <c r="AE13" s="81"/>
      <c r="AF13" s="81"/>
      <c r="AG13" s="81"/>
      <c r="AH13" s="81"/>
      <c r="AI13" s="81" t="s">
        <v>1931</v>
      </c>
      <c r="AJ13" s="88">
        <v>40625.833333333336</v>
      </c>
      <c r="AK13" s="86" t="str">
        <f>HYPERLINK("https://yt3.ggpht.com/ytc/AIf8zZQ2AQCmyV3lPqHPQv17i7KIJopDIpw_nzezcA=s88-c-k-c0x00ffffff-no-rj")</f>
        <v>https://yt3.ggpht.com/ytc/AIf8zZQ2AQCmyV3lPqHPQv17i7KIJopDIpw_nzezcA=s88-c-k-c0x00ffffff-no-rj</v>
      </c>
      <c r="AL13" s="81">
        <v>0</v>
      </c>
      <c r="AM13" s="81">
        <v>0</v>
      </c>
      <c r="AN13" s="81">
        <v>1</v>
      </c>
      <c r="AO13" s="81" t="b">
        <v>0</v>
      </c>
      <c r="AP13" s="81">
        <v>0</v>
      </c>
      <c r="AQ13" s="81"/>
      <c r="AR13" s="81"/>
      <c r="AS13" s="81" t="s">
        <v>3378</v>
      </c>
      <c r="AT13" s="86" t="str">
        <f>HYPERLINK("https://www.youtube.com/channel/UCKBv1p7n0LHOF6OFAKr8ymA")</f>
        <v>https://www.youtube.com/channel/UCKBv1p7n0LHOF6OFAKr8ymA</v>
      </c>
      <c r="AU13" s="81" t="str">
        <f>REPLACE(INDEX(GroupVertices[Group],MATCH("~"&amp;Vertices[[#This Row],[Vertex]],GroupVertices[Vertex],0)),1,1,"")</f>
        <v>6</v>
      </c>
      <c r="AV13" s="49"/>
      <c r="AW13" s="49"/>
      <c r="AX13" s="49"/>
      <c r="AY13" s="49"/>
      <c r="AZ13" s="49"/>
      <c r="BA13" s="49"/>
      <c r="BB13" s="117" t="s">
        <v>3937</v>
      </c>
      <c r="BC13" s="117" t="s">
        <v>3937</v>
      </c>
      <c r="BD13" s="117" t="s">
        <v>4631</v>
      </c>
      <c r="BE13" s="117" t="s">
        <v>4631</v>
      </c>
      <c r="BF13" s="2"/>
      <c r="BG13" s="3"/>
      <c r="BH13" s="3"/>
      <c r="BI13" s="3"/>
      <c r="BJ13" s="3"/>
    </row>
    <row r="14" spans="1:62" ht="15">
      <c r="A14" s="66" t="s">
        <v>559</v>
      </c>
      <c r="B14" s="67"/>
      <c r="C14" s="67">
        <v>11</v>
      </c>
      <c r="D14" s="68">
        <v>5000</v>
      </c>
      <c r="E14" s="70"/>
      <c r="F14" s="105" t="str">
        <f>HYPERLINK("https://yt3.ggpht.com/ytc/AIf8zZSJnKwVYhFYPXgmCPxyYmiMA1Ssi2x3aElgZzA2Rw=s88-c-k-c0x00ffffff-no-rj")</f>
        <v>https://yt3.ggpht.com/ytc/AIf8zZSJnKwVYhFYPXgmCPxyYmiMA1Ssi2x3aElgZzA2Rw=s88-c-k-c0x00ffffff-no-rj</v>
      </c>
      <c r="G14" s="67"/>
      <c r="H14" s="66" t="s">
        <v>2791</v>
      </c>
      <c r="I14" s="72"/>
      <c r="J14" s="72" t="s">
        <v>75</v>
      </c>
      <c r="K14" s="71" t="s">
        <v>2791</v>
      </c>
      <c r="L14" s="75">
        <v>1548.283692112038</v>
      </c>
      <c r="M14" s="76">
        <v>9019.3447265625</v>
      </c>
      <c r="N14" s="76">
        <v>4738.47216796875</v>
      </c>
      <c r="O14" s="77"/>
      <c r="P14" s="78"/>
      <c r="Q14" s="78"/>
      <c r="R14" s="90"/>
      <c r="S14" s="49">
        <v>0</v>
      </c>
      <c r="T14" s="49">
        <v>2</v>
      </c>
      <c r="U14" s="50">
        <v>36788.066667</v>
      </c>
      <c r="V14" s="50">
        <v>0.261013</v>
      </c>
      <c r="W14" s="51"/>
      <c r="X14" s="51"/>
      <c r="Y14" s="51"/>
      <c r="Z14" s="50"/>
      <c r="AA14" s="73">
        <v>14</v>
      </c>
      <c r="AB14" s="73"/>
      <c r="AC14" s="74"/>
      <c r="AD14" s="81" t="s">
        <v>2791</v>
      </c>
      <c r="AE14" s="81" t="s">
        <v>3177</v>
      </c>
      <c r="AF14" s="81"/>
      <c r="AG14" s="81"/>
      <c r="AH14" s="81"/>
      <c r="AI14" s="81" t="s">
        <v>3305</v>
      </c>
      <c r="AJ14" s="88">
        <v>40875.02559027778</v>
      </c>
      <c r="AK14" s="86" t="str">
        <f>HYPERLINK("https://yt3.ggpht.com/ytc/AIf8zZSJnKwVYhFYPXgmCPxyYmiMA1Ssi2x3aElgZzA2Rw=s88-c-k-c0x00ffffff-no-rj")</f>
        <v>https://yt3.ggpht.com/ytc/AIf8zZSJnKwVYhFYPXgmCPxyYmiMA1Ssi2x3aElgZzA2Rw=s88-c-k-c0x00ffffff-no-rj</v>
      </c>
      <c r="AL14" s="81">
        <v>296</v>
      </c>
      <c r="AM14" s="81">
        <v>0</v>
      </c>
      <c r="AN14" s="81">
        <v>4</v>
      </c>
      <c r="AO14" s="81" t="b">
        <v>0</v>
      </c>
      <c r="AP14" s="81">
        <v>6</v>
      </c>
      <c r="AQ14" s="81"/>
      <c r="AR14" s="81"/>
      <c r="AS14" s="81" t="s">
        <v>3378</v>
      </c>
      <c r="AT14" s="86" t="str">
        <f>HYPERLINK("https://www.youtube.com/channel/UCBdOLQYVHPtOcl3q2th7fhA")</f>
        <v>https://www.youtube.com/channel/UCBdOLQYVHPtOcl3q2th7fhA</v>
      </c>
      <c r="AU14" s="81" t="str">
        <f>REPLACE(INDEX(GroupVertices[Group],MATCH("~"&amp;Vertices[[#This Row],[Vertex]],GroupVertices[Vertex],0)),1,1,"")</f>
        <v>7</v>
      </c>
      <c r="AV14" s="49" t="s">
        <v>3673</v>
      </c>
      <c r="AW14" s="49" t="s">
        <v>3678</v>
      </c>
      <c r="AX14" s="49" t="s">
        <v>2414</v>
      </c>
      <c r="AY14" s="49" t="s">
        <v>2414</v>
      </c>
      <c r="AZ14" s="49"/>
      <c r="BA14" s="49"/>
      <c r="BB14" s="117" t="s">
        <v>4031</v>
      </c>
      <c r="BC14" s="117" t="s">
        <v>4367</v>
      </c>
      <c r="BD14" s="117" t="s">
        <v>4720</v>
      </c>
      <c r="BE14" s="117" t="s">
        <v>4720</v>
      </c>
      <c r="BF14" s="2"/>
      <c r="BG14" s="3"/>
      <c r="BH14" s="3"/>
      <c r="BI14" s="3"/>
      <c r="BJ14" s="3"/>
    </row>
    <row r="15" spans="1:62" ht="15">
      <c r="A15" s="66" t="s">
        <v>359</v>
      </c>
      <c r="B15" s="67"/>
      <c r="C15" s="67">
        <v>11</v>
      </c>
      <c r="D15" s="68">
        <v>5000</v>
      </c>
      <c r="E15" s="70"/>
      <c r="F15" s="105" t="str">
        <f>HYPERLINK("https://yt3.ggpht.com/ytc/AIf8zZRs0hj4yLbUFdihLmU2C0H4o6biP7g5n_P1FA=s88-c-k-c0x00ffffff-no-rj")</f>
        <v>https://yt3.ggpht.com/ytc/AIf8zZRs0hj4yLbUFdihLmU2C0H4o6biP7g5n_P1FA=s88-c-k-c0x00ffffff-no-rj</v>
      </c>
      <c r="G15" s="67"/>
      <c r="H15" s="66" t="s">
        <v>2589</v>
      </c>
      <c r="I15" s="72"/>
      <c r="J15" s="72" t="s">
        <v>75</v>
      </c>
      <c r="K15" s="71" t="s">
        <v>2589</v>
      </c>
      <c r="L15" s="75">
        <v>1504.4958600882937</v>
      </c>
      <c r="M15" s="76">
        <v>9862.0703125</v>
      </c>
      <c r="N15" s="76">
        <v>3616.262939453125</v>
      </c>
      <c r="O15" s="77"/>
      <c r="P15" s="78"/>
      <c r="Q15" s="78"/>
      <c r="R15" s="90"/>
      <c r="S15" s="49">
        <v>0</v>
      </c>
      <c r="T15" s="49">
        <v>2</v>
      </c>
      <c r="U15" s="50">
        <v>35746.971429</v>
      </c>
      <c r="V15" s="50">
        <v>0.279146</v>
      </c>
      <c r="W15" s="51"/>
      <c r="X15" s="51"/>
      <c r="Y15" s="51"/>
      <c r="Z15" s="50"/>
      <c r="AA15" s="73">
        <v>15</v>
      </c>
      <c r="AB15" s="73"/>
      <c r="AC15" s="74"/>
      <c r="AD15" s="81" t="s">
        <v>2589</v>
      </c>
      <c r="AE15" s="81"/>
      <c r="AF15" s="81"/>
      <c r="AG15" s="81"/>
      <c r="AH15" s="81"/>
      <c r="AI15" s="81" t="s">
        <v>1825</v>
      </c>
      <c r="AJ15" s="88">
        <v>40828.8034375</v>
      </c>
      <c r="AK15" s="86" t="str">
        <f>HYPERLINK("https://yt3.ggpht.com/ytc/AIf8zZRs0hj4yLbUFdihLmU2C0H4o6biP7g5n_P1FA=s88-c-k-c0x00ffffff-no-rj")</f>
        <v>https://yt3.ggpht.com/ytc/AIf8zZRs0hj4yLbUFdihLmU2C0H4o6biP7g5n_P1FA=s88-c-k-c0x00ffffff-no-rj</v>
      </c>
      <c r="AL15" s="81">
        <v>0</v>
      </c>
      <c r="AM15" s="81">
        <v>0</v>
      </c>
      <c r="AN15" s="81">
        <v>21</v>
      </c>
      <c r="AO15" s="81" t="b">
        <v>0</v>
      </c>
      <c r="AP15" s="81">
        <v>0</v>
      </c>
      <c r="AQ15" s="81"/>
      <c r="AR15" s="81"/>
      <c r="AS15" s="81" t="s">
        <v>3378</v>
      </c>
      <c r="AT15" s="86" t="str">
        <f>HYPERLINK("https://www.youtube.com/channel/UC-GeDtEqCloOTEKa_zWwdVw")</f>
        <v>https://www.youtube.com/channel/UC-GeDtEqCloOTEKa_zWwdVw</v>
      </c>
      <c r="AU15" s="81" t="str">
        <f>REPLACE(INDEX(GroupVertices[Group],MATCH("~"&amp;Vertices[[#This Row],[Vertex]],GroupVertices[Vertex],0)),1,1,"")</f>
        <v>7</v>
      </c>
      <c r="AV15" s="49"/>
      <c r="AW15" s="49"/>
      <c r="AX15" s="49"/>
      <c r="AY15" s="49"/>
      <c r="AZ15" s="49"/>
      <c r="BA15" s="49"/>
      <c r="BB15" s="117" t="s">
        <v>3831</v>
      </c>
      <c r="BC15" s="117" t="s">
        <v>3831</v>
      </c>
      <c r="BD15" s="117" t="s">
        <v>4529</v>
      </c>
      <c r="BE15" s="117" t="s">
        <v>4529</v>
      </c>
      <c r="BF15" s="2"/>
      <c r="BG15" s="3"/>
      <c r="BH15" s="3"/>
      <c r="BI15" s="3"/>
      <c r="BJ15" s="3"/>
    </row>
    <row r="16" spans="1:62" ht="15">
      <c r="A16" s="66" t="s">
        <v>791</v>
      </c>
      <c r="B16" s="67"/>
      <c r="C16" s="67">
        <v>11</v>
      </c>
      <c r="D16" s="68">
        <v>5000</v>
      </c>
      <c r="E16" s="70"/>
      <c r="F16" s="105" t="str">
        <f>HYPERLINK("https://yt3.ggpht.com/ytc/AIf8zZTvf-AH5tRg0cXNrzbxVTrroZEwcwOKnLLOyaT9=s88-c-k-c0x00ffffff-no-rj")</f>
        <v>https://yt3.ggpht.com/ytc/AIf8zZTvf-AH5tRg0cXNrzbxVTrroZEwcwOKnLLOyaT9=s88-c-k-c0x00ffffff-no-rj</v>
      </c>
      <c r="G16" s="67"/>
      <c r="H16" s="66" t="s">
        <v>3023</v>
      </c>
      <c r="I16" s="72"/>
      <c r="J16" s="72" t="s">
        <v>75</v>
      </c>
      <c r="K16" s="71" t="s">
        <v>3023</v>
      </c>
      <c r="L16" s="75">
        <v>1244.7022100185966</v>
      </c>
      <c r="M16" s="76">
        <v>7151.9189453125</v>
      </c>
      <c r="N16" s="76">
        <v>379.7942199707031</v>
      </c>
      <c r="O16" s="77"/>
      <c r="P16" s="78"/>
      <c r="Q16" s="78"/>
      <c r="R16" s="90"/>
      <c r="S16" s="49">
        <v>0</v>
      </c>
      <c r="T16" s="49">
        <v>2</v>
      </c>
      <c r="U16" s="50">
        <v>29570.142857</v>
      </c>
      <c r="V16" s="50">
        <v>0.234329</v>
      </c>
      <c r="W16" s="51"/>
      <c r="X16" s="51"/>
      <c r="Y16" s="51"/>
      <c r="Z16" s="50"/>
      <c r="AA16" s="73">
        <v>16</v>
      </c>
      <c r="AB16" s="73"/>
      <c r="AC16" s="74"/>
      <c r="AD16" s="81" t="s">
        <v>3023</v>
      </c>
      <c r="AE16" s="81" t="s">
        <v>3213</v>
      </c>
      <c r="AF16" s="81"/>
      <c r="AG16" s="81"/>
      <c r="AH16" s="81"/>
      <c r="AI16" s="81" t="s">
        <v>2257</v>
      </c>
      <c r="AJ16" s="88">
        <v>43996.27799768518</v>
      </c>
      <c r="AK16" s="86" t="str">
        <f>HYPERLINK("https://yt3.ggpht.com/ytc/AIf8zZTvf-AH5tRg0cXNrzbxVTrroZEwcwOKnLLOyaT9=s88-c-k-c0x00ffffff-no-rj")</f>
        <v>https://yt3.ggpht.com/ytc/AIf8zZTvf-AH5tRg0cXNrzbxVTrroZEwcwOKnLLOyaT9=s88-c-k-c0x00ffffff-no-rj</v>
      </c>
      <c r="AL16" s="81">
        <v>0</v>
      </c>
      <c r="AM16" s="81">
        <v>0</v>
      </c>
      <c r="AN16" s="81">
        <v>23</v>
      </c>
      <c r="AO16" s="81" t="b">
        <v>0</v>
      </c>
      <c r="AP16" s="81">
        <v>0</v>
      </c>
      <c r="AQ16" s="81"/>
      <c r="AR16" s="81"/>
      <c r="AS16" s="81" t="s">
        <v>3378</v>
      </c>
      <c r="AT16" s="86" t="str">
        <f>HYPERLINK("https://www.youtube.com/channel/UC_OIjvDidDQ6VsjZUGBHTJg")</f>
        <v>https://www.youtube.com/channel/UC_OIjvDidDQ6VsjZUGBHTJg</v>
      </c>
      <c r="AU16" s="81" t="str">
        <f>REPLACE(INDEX(GroupVertices[Group],MATCH("~"&amp;Vertices[[#This Row],[Vertex]],GroupVertices[Vertex],0)),1,1,"")</f>
        <v>5</v>
      </c>
      <c r="AV16" s="49"/>
      <c r="AW16" s="49"/>
      <c r="AX16" s="49"/>
      <c r="AY16" s="49"/>
      <c r="AZ16" s="49"/>
      <c r="BA16" s="49"/>
      <c r="BB16" s="117" t="s">
        <v>4257</v>
      </c>
      <c r="BC16" s="117" t="s">
        <v>4379</v>
      </c>
      <c r="BD16" s="117" t="s">
        <v>4940</v>
      </c>
      <c r="BE16" s="117" t="s">
        <v>5043</v>
      </c>
      <c r="BF16" s="2"/>
      <c r="BG16" s="3"/>
      <c r="BH16" s="3"/>
      <c r="BI16" s="3"/>
      <c r="BJ16" s="3"/>
    </row>
    <row r="17" spans="1:62" ht="15">
      <c r="A17" s="66" t="s">
        <v>675</v>
      </c>
      <c r="B17" s="67"/>
      <c r="C17" s="67">
        <v>11</v>
      </c>
      <c r="D17" s="68">
        <v>5000</v>
      </c>
      <c r="E17" s="70"/>
      <c r="F17" s="105" t="str">
        <f>HYPERLINK("https://yt3.ggpht.com/ytc/AIf8zZRo7WCmF5kXcG-XWyXlFPmZ8FY6OuZHPPUucYehDA=s88-c-k-c0x00ffffff-no-rj")</f>
        <v>https://yt3.ggpht.com/ytc/AIf8zZRo7WCmF5kXcG-XWyXlFPmZ8FY6OuZHPPUucYehDA=s88-c-k-c0x00ffffff-no-rj</v>
      </c>
      <c r="G17" s="67"/>
      <c r="H17" s="66" t="s">
        <v>2907</v>
      </c>
      <c r="I17" s="72"/>
      <c r="J17" s="72" t="s">
        <v>75</v>
      </c>
      <c r="K17" s="71" t="s">
        <v>2907</v>
      </c>
      <c r="L17" s="75">
        <v>1062.275875651168</v>
      </c>
      <c r="M17" s="76">
        <v>9561.1337890625</v>
      </c>
      <c r="N17" s="76">
        <v>3641.18310546875</v>
      </c>
      <c r="O17" s="77"/>
      <c r="P17" s="78"/>
      <c r="Q17" s="78"/>
      <c r="R17" s="90"/>
      <c r="S17" s="49">
        <v>0</v>
      </c>
      <c r="T17" s="49">
        <v>2</v>
      </c>
      <c r="U17" s="50">
        <v>25232.792063</v>
      </c>
      <c r="V17" s="50">
        <v>0.261412</v>
      </c>
      <c r="W17" s="51"/>
      <c r="X17" s="51"/>
      <c r="Y17" s="51"/>
      <c r="Z17" s="50"/>
      <c r="AA17" s="73">
        <v>17</v>
      </c>
      <c r="AB17" s="73"/>
      <c r="AC17" s="74"/>
      <c r="AD17" s="81" t="s">
        <v>2907</v>
      </c>
      <c r="AE17" s="81" t="s">
        <v>3191</v>
      </c>
      <c r="AF17" s="81"/>
      <c r="AG17" s="81"/>
      <c r="AH17" s="81"/>
      <c r="AI17" s="81" t="s">
        <v>2141</v>
      </c>
      <c r="AJ17" s="88">
        <v>40792.72902777778</v>
      </c>
      <c r="AK17" s="86" t="str">
        <f>HYPERLINK("https://yt3.ggpht.com/ytc/AIf8zZRo7WCmF5kXcG-XWyXlFPmZ8FY6OuZHPPUucYehDA=s88-c-k-c0x00ffffff-no-rj")</f>
        <v>https://yt3.ggpht.com/ytc/AIf8zZRo7WCmF5kXcG-XWyXlFPmZ8FY6OuZHPPUucYehDA=s88-c-k-c0x00ffffff-no-rj</v>
      </c>
      <c r="AL17" s="81">
        <v>858</v>
      </c>
      <c r="AM17" s="81">
        <v>0</v>
      </c>
      <c r="AN17" s="81">
        <v>25</v>
      </c>
      <c r="AO17" s="81" t="b">
        <v>0</v>
      </c>
      <c r="AP17" s="81">
        <v>5</v>
      </c>
      <c r="AQ17" s="81"/>
      <c r="AR17" s="81"/>
      <c r="AS17" s="81" t="s">
        <v>3378</v>
      </c>
      <c r="AT17" s="86" t="str">
        <f>HYPERLINK("https://www.youtube.com/channel/UC9cuLEioDn1As9tqu-8zHzQ")</f>
        <v>https://www.youtube.com/channel/UC9cuLEioDn1As9tqu-8zHzQ</v>
      </c>
      <c r="AU17" s="81" t="str">
        <f>REPLACE(INDEX(GroupVertices[Group],MATCH("~"&amp;Vertices[[#This Row],[Vertex]],GroupVertices[Vertex],0)),1,1,"")</f>
        <v>7</v>
      </c>
      <c r="AV17" s="49"/>
      <c r="AW17" s="49"/>
      <c r="AX17" s="49"/>
      <c r="AY17" s="49"/>
      <c r="AZ17" s="49"/>
      <c r="BA17" s="49"/>
      <c r="BB17" s="117" t="s">
        <v>4145</v>
      </c>
      <c r="BC17" s="117" t="s">
        <v>4145</v>
      </c>
      <c r="BD17" s="117" t="s">
        <v>4832</v>
      </c>
      <c r="BE17" s="117" t="s">
        <v>4832</v>
      </c>
      <c r="BF17" s="2"/>
      <c r="BG17" s="3"/>
      <c r="BH17" s="3"/>
      <c r="BI17" s="3"/>
      <c r="BJ17" s="3"/>
    </row>
    <row r="18" spans="1:62" ht="15">
      <c r="A18" s="66" t="s">
        <v>769</v>
      </c>
      <c r="B18" s="67"/>
      <c r="C18" s="67">
        <v>11</v>
      </c>
      <c r="D18" s="68">
        <v>5000</v>
      </c>
      <c r="E18" s="70"/>
      <c r="F18" s="105" t="str">
        <f>HYPERLINK("https://yt3.ggpht.com/ytc/AIf8zZQRyOW3yLxsvqNNAac0jZOJqSKhLbITgtJKqw=s88-c-k-c0x00ffffff-no-rj")</f>
        <v>https://yt3.ggpht.com/ytc/AIf8zZQRyOW3yLxsvqNNAac0jZOJqSKhLbITgtJKqw=s88-c-k-c0x00ffffff-no-rj</v>
      </c>
      <c r="G18" s="67"/>
      <c r="H18" s="66" t="s">
        <v>2558</v>
      </c>
      <c r="I18" s="72"/>
      <c r="J18" s="72" t="s">
        <v>75</v>
      </c>
      <c r="K18" s="71" t="s">
        <v>2558</v>
      </c>
      <c r="L18" s="75">
        <v>1042.5054915794135</v>
      </c>
      <c r="M18" s="76">
        <v>7088.30078125</v>
      </c>
      <c r="N18" s="76">
        <v>2621.399658203125</v>
      </c>
      <c r="O18" s="77"/>
      <c r="P18" s="78"/>
      <c r="Q18" s="78"/>
      <c r="R18" s="90"/>
      <c r="S18" s="49">
        <v>0</v>
      </c>
      <c r="T18" s="49">
        <v>2</v>
      </c>
      <c r="U18" s="50">
        <v>24762.733333</v>
      </c>
      <c r="V18" s="50">
        <v>0.273556</v>
      </c>
      <c r="W18" s="51"/>
      <c r="X18" s="51"/>
      <c r="Y18" s="51"/>
      <c r="Z18" s="50"/>
      <c r="AA18" s="73">
        <v>18</v>
      </c>
      <c r="AB18" s="73"/>
      <c r="AC18" s="74"/>
      <c r="AD18" s="81" t="s">
        <v>2558</v>
      </c>
      <c r="AE18" s="81"/>
      <c r="AF18" s="81"/>
      <c r="AG18" s="81"/>
      <c r="AH18" s="81"/>
      <c r="AI18" s="81" t="s">
        <v>3354</v>
      </c>
      <c r="AJ18" s="88">
        <v>40826.855266203704</v>
      </c>
      <c r="AK18" s="86" t="str">
        <f>HYPERLINK("https://yt3.ggpht.com/ytc/AIf8zZQRyOW3yLxsvqNNAac0jZOJqSKhLbITgtJKqw=s88-c-k-c0x00ffffff-no-rj")</f>
        <v>https://yt3.ggpht.com/ytc/AIf8zZQRyOW3yLxsvqNNAac0jZOJqSKhLbITgtJKqw=s88-c-k-c0x00ffffff-no-rj</v>
      </c>
      <c r="AL18" s="81">
        <v>0</v>
      </c>
      <c r="AM18" s="81">
        <v>0</v>
      </c>
      <c r="AN18" s="81">
        <v>0</v>
      </c>
      <c r="AO18" s="81" t="b">
        <v>0</v>
      </c>
      <c r="AP18" s="81">
        <v>0</v>
      </c>
      <c r="AQ18" s="81"/>
      <c r="AR18" s="81"/>
      <c r="AS18" s="81" t="s">
        <v>3378</v>
      </c>
      <c r="AT18" s="86" t="str">
        <f>HYPERLINK("https://www.youtube.com/channel/UCQ-ZrKnCUeBsIizJU84cu5g")</f>
        <v>https://www.youtube.com/channel/UCQ-ZrKnCUeBsIizJU84cu5g</v>
      </c>
      <c r="AU18" s="81" t="str">
        <f>REPLACE(INDEX(GroupVertices[Group],MATCH("~"&amp;Vertices[[#This Row],[Vertex]],GroupVertices[Vertex],0)),1,1,"")</f>
        <v>5</v>
      </c>
      <c r="AV18" s="49"/>
      <c r="AW18" s="49"/>
      <c r="AX18" s="49"/>
      <c r="AY18" s="49"/>
      <c r="AZ18" s="49"/>
      <c r="BA18" s="49"/>
      <c r="BB18" s="117" t="s">
        <v>4236</v>
      </c>
      <c r="BC18" s="117" t="s">
        <v>4376</v>
      </c>
      <c r="BD18" s="117" t="s">
        <v>4921</v>
      </c>
      <c r="BE18" s="117" t="s">
        <v>4921</v>
      </c>
      <c r="BF18" s="2"/>
      <c r="BG18" s="3"/>
      <c r="BH18" s="3"/>
      <c r="BI18" s="3"/>
      <c r="BJ18" s="3"/>
    </row>
    <row r="19" spans="1:62" ht="15">
      <c r="A19" s="66" t="s">
        <v>800</v>
      </c>
      <c r="B19" s="67"/>
      <c r="C19" s="67">
        <v>11</v>
      </c>
      <c r="D19" s="68">
        <v>5000</v>
      </c>
      <c r="E19" s="70"/>
      <c r="F19" s="105" t="str">
        <f>HYPERLINK("https://yt3.ggpht.com/iqmyhpkBX5_df8tIpu8SUh1KVwM0uVLlvUecsVT2lMhaTu-r0bJ4OR6cUUQjtRtpDtwiDGcs=s88-c-k-c0x00ffffff-no-rj")</f>
        <v>https://yt3.ggpht.com/iqmyhpkBX5_df8tIpu8SUh1KVwM0uVLlvUecsVT2lMhaTu-r0bJ4OR6cUUQjtRtpDtwiDGcs=s88-c-k-c0x00ffffff-no-rj</v>
      </c>
      <c r="G19" s="67"/>
      <c r="H19" s="66" t="s">
        <v>3032</v>
      </c>
      <c r="I19" s="72"/>
      <c r="J19" s="72" t="s">
        <v>75</v>
      </c>
      <c r="K19" s="71" t="s">
        <v>3032</v>
      </c>
      <c r="L19" s="75">
        <v>1042.5054915794135</v>
      </c>
      <c r="M19" s="76">
        <v>6552.4931640625</v>
      </c>
      <c r="N19" s="76">
        <v>3473.634033203125</v>
      </c>
      <c r="O19" s="77"/>
      <c r="P19" s="78"/>
      <c r="Q19" s="78"/>
      <c r="R19" s="90"/>
      <c r="S19" s="49">
        <v>0</v>
      </c>
      <c r="T19" s="49">
        <v>2</v>
      </c>
      <c r="U19" s="50">
        <v>24762.733333</v>
      </c>
      <c r="V19" s="50">
        <v>0.273556</v>
      </c>
      <c r="W19" s="51"/>
      <c r="X19" s="51"/>
      <c r="Y19" s="51"/>
      <c r="Z19" s="50"/>
      <c r="AA19" s="73">
        <v>19</v>
      </c>
      <c r="AB19" s="73"/>
      <c r="AC19" s="74"/>
      <c r="AD19" s="81" t="s">
        <v>3032</v>
      </c>
      <c r="AE19" s="81" t="s">
        <v>3216</v>
      </c>
      <c r="AF19" s="81"/>
      <c r="AG19" s="81"/>
      <c r="AH19" s="81"/>
      <c r="AI19" s="81" t="s">
        <v>3361</v>
      </c>
      <c r="AJ19" s="88">
        <v>43378.01393518518</v>
      </c>
      <c r="AK19" s="86" t="str">
        <f>HYPERLINK("https://yt3.ggpht.com/iqmyhpkBX5_df8tIpu8SUh1KVwM0uVLlvUecsVT2lMhaTu-r0bJ4OR6cUUQjtRtpDtwiDGcs=s88-c-k-c0x00ffffff-no-rj")</f>
        <v>https://yt3.ggpht.com/iqmyhpkBX5_df8tIpu8SUh1KVwM0uVLlvUecsVT2lMhaTu-r0bJ4OR6cUUQjtRtpDtwiDGcs=s88-c-k-c0x00ffffff-no-rj</v>
      </c>
      <c r="AL19" s="81">
        <v>76890</v>
      </c>
      <c r="AM19" s="81">
        <v>0</v>
      </c>
      <c r="AN19" s="81">
        <v>310</v>
      </c>
      <c r="AO19" s="81" t="b">
        <v>0</v>
      </c>
      <c r="AP19" s="81">
        <v>19</v>
      </c>
      <c r="AQ19" s="81"/>
      <c r="AR19" s="81"/>
      <c r="AS19" s="81" t="s">
        <v>3378</v>
      </c>
      <c r="AT19" s="86" t="str">
        <f>HYPERLINK("https://www.youtube.com/channel/UCIDo_eCjT9all0nafyhMOzA")</f>
        <v>https://www.youtube.com/channel/UCIDo_eCjT9all0nafyhMOzA</v>
      </c>
      <c r="AU19" s="81" t="str">
        <f>REPLACE(INDEX(GroupVertices[Group],MATCH("~"&amp;Vertices[[#This Row],[Vertex]],GroupVertices[Vertex],0)),1,1,"")</f>
        <v>5</v>
      </c>
      <c r="AV19" s="49"/>
      <c r="AW19" s="49"/>
      <c r="AX19" s="49"/>
      <c r="AY19" s="49"/>
      <c r="AZ19" s="49"/>
      <c r="BA19" s="49"/>
      <c r="BB19" s="117" t="s">
        <v>4265</v>
      </c>
      <c r="BC19" s="117" t="s">
        <v>4380</v>
      </c>
      <c r="BD19" s="117" t="s">
        <v>4947</v>
      </c>
      <c r="BE19" s="117" t="s">
        <v>5044</v>
      </c>
      <c r="BF19" s="2"/>
      <c r="BG19" s="3"/>
      <c r="BH19" s="3"/>
      <c r="BI19" s="3"/>
      <c r="BJ19" s="3"/>
    </row>
    <row r="20" spans="1:62" ht="15">
      <c r="A20" s="66" t="s">
        <v>804</v>
      </c>
      <c r="B20" s="67"/>
      <c r="C20" s="67">
        <v>11</v>
      </c>
      <c r="D20" s="68">
        <v>5000</v>
      </c>
      <c r="E20" s="70"/>
      <c r="F20" s="105" t="str">
        <f>HYPERLINK("https://yt3.ggpht.com/ytc/AIf8zZQdtwJQfVoDAKKEX4GO9XHTvkrx9ZFlUh3Tko8fDA=s88-c-k-c0x00ffffff-no-rj")</f>
        <v>https://yt3.ggpht.com/ytc/AIf8zZQdtwJQfVoDAKKEX4GO9XHTvkrx9ZFlUh3Tko8fDA=s88-c-k-c0x00ffffff-no-rj</v>
      </c>
      <c r="G20" s="67"/>
      <c r="H20" s="66" t="s">
        <v>3036</v>
      </c>
      <c r="I20" s="72"/>
      <c r="J20" s="72" t="s">
        <v>75</v>
      </c>
      <c r="K20" s="71" t="s">
        <v>3036</v>
      </c>
      <c r="L20" s="75">
        <v>1042.5054915794135</v>
      </c>
      <c r="M20" s="76">
        <v>6653.47021484375</v>
      </c>
      <c r="N20" s="76">
        <v>5157.46728515625</v>
      </c>
      <c r="O20" s="77"/>
      <c r="P20" s="78"/>
      <c r="Q20" s="78"/>
      <c r="R20" s="90"/>
      <c r="S20" s="49">
        <v>0</v>
      </c>
      <c r="T20" s="49">
        <v>2</v>
      </c>
      <c r="U20" s="50">
        <v>24762.733333</v>
      </c>
      <c r="V20" s="50">
        <v>0.273556</v>
      </c>
      <c r="W20" s="51"/>
      <c r="X20" s="51"/>
      <c r="Y20" s="51"/>
      <c r="Z20" s="50"/>
      <c r="AA20" s="73">
        <v>20</v>
      </c>
      <c r="AB20" s="73"/>
      <c r="AC20" s="74"/>
      <c r="AD20" s="81" t="s">
        <v>3036</v>
      </c>
      <c r="AE20" s="81"/>
      <c r="AF20" s="81"/>
      <c r="AG20" s="81"/>
      <c r="AH20" s="81"/>
      <c r="AI20" s="81" t="s">
        <v>2270</v>
      </c>
      <c r="AJ20" s="88">
        <v>41329.47021990741</v>
      </c>
      <c r="AK20" s="86" t="str">
        <f>HYPERLINK("https://yt3.ggpht.com/ytc/AIf8zZQdtwJQfVoDAKKEX4GO9XHTvkrx9ZFlUh3Tko8fDA=s88-c-k-c0x00ffffff-no-rj")</f>
        <v>https://yt3.ggpht.com/ytc/AIf8zZQdtwJQfVoDAKKEX4GO9XHTvkrx9ZFlUh3Tko8fDA=s88-c-k-c0x00ffffff-no-rj</v>
      </c>
      <c r="AL20" s="81">
        <v>0</v>
      </c>
      <c r="AM20" s="81">
        <v>0</v>
      </c>
      <c r="AN20" s="81">
        <v>0</v>
      </c>
      <c r="AO20" s="81" t="b">
        <v>0</v>
      </c>
      <c r="AP20" s="81">
        <v>0</v>
      </c>
      <c r="AQ20" s="81"/>
      <c r="AR20" s="81"/>
      <c r="AS20" s="81" t="s">
        <v>3378</v>
      </c>
      <c r="AT20" s="86" t="str">
        <f>HYPERLINK("https://www.youtube.com/channel/UC6QgxSH_fB1NzzCao4-dfvg")</f>
        <v>https://www.youtube.com/channel/UC6QgxSH_fB1NzzCao4-dfvg</v>
      </c>
      <c r="AU20" s="81" t="str">
        <f>REPLACE(INDEX(GroupVertices[Group],MATCH("~"&amp;Vertices[[#This Row],[Vertex]],GroupVertices[Vertex],0)),1,1,"")</f>
        <v>5</v>
      </c>
      <c r="AV20" s="49"/>
      <c r="AW20" s="49"/>
      <c r="AX20" s="49"/>
      <c r="AY20" s="49"/>
      <c r="AZ20" s="49"/>
      <c r="BA20" s="49"/>
      <c r="BB20" s="117" t="s">
        <v>4269</v>
      </c>
      <c r="BC20" s="117" t="s">
        <v>4269</v>
      </c>
      <c r="BD20" s="117" t="s">
        <v>4951</v>
      </c>
      <c r="BE20" s="117" t="s">
        <v>4951</v>
      </c>
      <c r="BF20" s="2"/>
      <c r="BG20" s="3"/>
      <c r="BH20" s="3"/>
      <c r="BI20" s="3"/>
      <c r="BJ20" s="3"/>
    </row>
    <row r="21" spans="1:62" ht="15">
      <c r="A21" s="66" t="s">
        <v>494</v>
      </c>
      <c r="B21" s="67"/>
      <c r="C21" s="67">
        <v>11</v>
      </c>
      <c r="D21" s="68">
        <v>5000</v>
      </c>
      <c r="E21" s="70"/>
      <c r="F21" s="105" t="str">
        <f>HYPERLINK("https://yt3.ggpht.com/tvnXNRF9o6sEGe-WtYRNb3tZOMBXrqL-fVtLmaeoohlGXRl_sOtP5S5oMAeTwf-ewsVQcZwn=s88-c-k-c0x00ffffff-no-rj")</f>
        <v>https://yt3.ggpht.com/tvnXNRF9o6sEGe-WtYRNb3tZOMBXrqL-fVtLmaeoohlGXRl_sOtP5S5oMAeTwf-ewsVQcZwn=s88-c-k-c0x00ffffff-no-rj</v>
      </c>
      <c r="G21" s="67"/>
      <c r="H21" s="66" t="s">
        <v>2725</v>
      </c>
      <c r="I21" s="72"/>
      <c r="J21" s="72" t="s">
        <v>75</v>
      </c>
      <c r="K21" s="71" t="s">
        <v>2725</v>
      </c>
      <c r="L21" s="75">
        <v>1000.4952363045439</v>
      </c>
      <c r="M21" s="76">
        <v>8332.5</v>
      </c>
      <c r="N21" s="76">
        <v>3054.73388671875</v>
      </c>
      <c r="O21" s="77"/>
      <c r="P21" s="78"/>
      <c r="Q21" s="78"/>
      <c r="R21" s="90"/>
      <c r="S21" s="49">
        <v>0</v>
      </c>
      <c r="T21" s="49">
        <v>2</v>
      </c>
      <c r="U21" s="50">
        <v>23763.901587</v>
      </c>
      <c r="V21" s="50">
        <v>0.277333</v>
      </c>
      <c r="W21" s="51"/>
      <c r="X21" s="51"/>
      <c r="Y21" s="51"/>
      <c r="Z21" s="50"/>
      <c r="AA21" s="73">
        <v>21</v>
      </c>
      <c r="AB21" s="73"/>
      <c r="AC21" s="74"/>
      <c r="AD21" s="81" t="s">
        <v>2725</v>
      </c>
      <c r="AE21" s="81"/>
      <c r="AF21" s="81"/>
      <c r="AG21" s="81"/>
      <c r="AH21" s="81"/>
      <c r="AI21" s="81" t="s">
        <v>1960</v>
      </c>
      <c r="AJ21" s="88">
        <v>42034.236354166664</v>
      </c>
      <c r="AK21" s="86" t="str">
        <f>HYPERLINK("https://yt3.ggpht.com/tvnXNRF9o6sEGe-WtYRNb3tZOMBXrqL-fVtLmaeoohlGXRl_sOtP5S5oMAeTwf-ewsVQcZwn=s88-c-k-c0x00ffffff-no-rj")</f>
        <v>https://yt3.ggpht.com/tvnXNRF9o6sEGe-WtYRNb3tZOMBXrqL-fVtLmaeoohlGXRl_sOtP5S5oMAeTwf-ewsVQcZwn=s88-c-k-c0x00ffffff-no-rj</v>
      </c>
      <c r="AL21" s="81">
        <v>0</v>
      </c>
      <c r="AM21" s="81">
        <v>0</v>
      </c>
      <c r="AN21" s="81">
        <v>13</v>
      </c>
      <c r="AO21" s="81" t="b">
        <v>0</v>
      </c>
      <c r="AP21" s="81">
        <v>0</v>
      </c>
      <c r="AQ21" s="81"/>
      <c r="AR21" s="81"/>
      <c r="AS21" s="81" t="s">
        <v>3378</v>
      </c>
      <c r="AT21" s="86" t="str">
        <f>HYPERLINK("https://www.youtube.com/channel/UCXor2QHnN7CZe7YFoUIytjQ")</f>
        <v>https://www.youtube.com/channel/UCXor2QHnN7CZe7YFoUIytjQ</v>
      </c>
      <c r="AU21" s="81" t="str">
        <f>REPLACE(INDEX(GroupVertices[Group],MATCH("~"&amp;Vertices[[#This Row],[Vertex]],GroupVertices[Vertex],0)),1,1,"")</f>
        <v>7</v>
      </c>
      <c r="AV21" s="49"/>
      <c r="AW21" s="49"/>
      <c r="AX21" s="49"/>
      <c r="AY21" s="49"/>
      <c r="AZ21" s="49"/>
      <c r="BA21" s="49"/>
      <c r="BB21" s="117" t="s">
        <v>3966</v>
      </c>
      <c r="BC21" s="117" t="s">
        <v>4363</v>
      </c>
      <c r="BD21" s="117" t="s">
        <v>4660</v>
      </c>
      <c r="BE21" s="117" t="s">
        <v>4660</v>
      </c>
      <c r="BF21" s="2"/>
      <c r="BG21" s="3"/>
      <c r="BH21" s="3"/>
      <c r="BI21" s="3"/>
      <c r="BJ21" s="3"/>
    </row>
    <row r="22" spans="1:62" ht="15">
      <c r="A22" s="66" t="s">
        <v>837</v>
      </c>
      <c r="B22" s="67"/>
      <c r="C22" s="67">
        <v>11</v>
      </c>
      <c r="D22" s="68">
        <v>5000</v>
      </c>
      <c r="E22" s="70"/>
      <c r="F22" s="105" t="str">
        <f>HYPERLINK("https://yt3.ggpht.com/ytc/AIf8zZTyjEMaJGJPeq8qkRQcr-toi1WUKNlzhUTvz6x0=s88-c-k-c0x00ffffff-no-rj")</f>
        <v>https://yt3.ggpht.com/ytc/AIf8zZTyjEMaJGJPeq8qkRQcr-toi1WUKNlzhUTvz6x0=s88-c-k-c0x00ffffff-no-rj</v>
      </c>
      <c r="G22" s="67"/>
      <c r="H22" s="66" t="s">
        <v>3069</v>
      </c>
      <c r="I22" s="72"/>
      <c r="J22" s="72" t="s">
        <v>75</v>
      </c>
      <c r="K22" s="71" t="s">
        <v>3069</v>
      </c>
      <c r="L22" s="75">
        <v>1000.4952363045439</v>
      </c>
      <c r="M22" s="76">
        <v>8626.634765625</v>
      </c>
      <c r="N22" s="76">
        <v>5045.00439453125</v>
      </c>
      <c r="O22" s="77"/>
      <c r="P22" s="78"/>
      <c r="Q22" s="78"/>
      <c r="R22" s="90"/>
      <c r="S22" s="49">
        <v>0</v>
      </c>
      <c r="T22" s="49">
        <v>2</v>
      </c>
      <c r="U22" s="50">
        <v>23763.901587</v>
      </c>
      <c r="V22" s="50">
        <v>0.277333</v>
      </c>
      <c r="W22" s="51"/>
      <c r="X22" s="51"/>
      <c r="Y22" s="51"/>
      <c r="Z22" s="50"/>
      <c r="AA22" s="73">
        <v>22</v>
      </c>
      <c r="AB22" s="73"/>
      <c r="AC22" s="74"/>
      <c r="AD22" s="81" t="s">
        <v>3069</v>
      </c>
      <c r="AE22" s="81" t="s">
        <v>3220</v>
      </c>
      <c r="AF22" s="81"/>
      <c r="AG22" s="81"/>
      <c r="AH22" s="81"/>
      <c r="AI22" s="81" t="s">
        <v>2303</v>
      </c>
      <c r="AJ22" s="88">
        <v>40854.55503472222</v>
      </c>
      <c r="AK22" s="86" t="str">
        <f>HYPERLINK("https://yt3.ggpht.com/ytc/AIf8zZTyjEMaJGJPeq8qkRQcr-toi1WUKNlzhUTvz6x0=s88-c-k-c0x00ffffff-no-rj")</f>
        <v>https://yt3.ggpht.com/ytc/AIf8zZTyjEMaJGJPeq8qkRQcr-toi1WUKNlzhUTvz6x0=s88-c-k-c0x00ffffff-no-rj</v>
      </c>
      <c r="AL22" s="81">
        <v>7754</v>
      </c>
      <c r="AM22" s="81">
        <v>0</v>
      </c>
      <c r="AN22" s="81">
        <v>28</v>
      </c>
      <c r="AO22" s="81" t="b">
        <v>0</v>
      </c>
      <c r="AP22" s="81">
        <v>61</v>
      </c>
      <c r="AQ22" s="81"/>
      <c r="AR22" s="81"/>
      <c r="AS22" s="81" t="s">
        <v>3378</v>
      </c>
      <c r="AT22" s="86" t="str">
        <f>HYPERLINK("https://www.youtube.com/channel/UCrHh9KkBT_15E02JEsEqM0Q")</f>
        <v>https://www.youtube.com/channel/UCrHh9KkBT_15E02JEsEqM0Q</v>
      </c>
      <c r="AU22" s="81" t="str">
        <f>REPLACE(INDEX(GroupVertices[Group],MATCH("~"&amp;Vertices[[#This Row],[Vertex]],GroupVertices[Vertex],0)),1,1,"")</f>
        <v>7</v>
      </c>
      <c r="AV22" s="49"/>
      <c r="AW22" s="49"/>
      <c r="AX22" s="49"/>
      <c r="AY22" s="49"/>
      <c r="AZ22" s="49"/>
      <c r="BA22" s="49"/>
      <c r="BB22" s="117" t="s">
        <v>4297</v>
      </c>
      <c r="BC22" s="117" t="s">
        <v>4383</v>
      </c>
      <c r="BD22" s="117" t="s">
        <v>4979</v>
      </c>
      <c r="BE22" s="117" t="s">
        <v>5046</v>
      </c>
      <c r="BF22" s="2"/>
      <c r="BG22" s="3"/>
      <c r="BH22" s="3"/>
      <c r="BI22" s="3"/>
      <c r="BJ22" s="3"/>
    </row>
    <row r="23" spans="1:62" ht="15">
      <c r="A23" s="66" t="s">
        <v>613</v>
      </c>
      <c r="B23" s="67"/>
      <c r="C23" s="67"/>
      <c r="D23" s="68">
        <v>5000</v>
      </c>
      <c r="E23" s="70"/>
      <c r="F23" s="105" t="str">
        <f>HYPERLINK("https://yt3.ggpht.com/ytc/AIf8zZSH4_TNSQzRfni9PO9MhXwaqmWzRtiKmTviFA=s88-c-k-c0x00ffffff-no-rj")</f>
        <v>https://yt3.ggpht.com/ytc/AIf8zZSH4_TNSQzRfni9PO9MhXwaqmWzRtiKmTviFA=s88-c-k-c0x00ffffff-no-rj</v>
      </c>
      <c r="G23" s="67"/>
      <c r="H23" s="71" t="s">
        <v>2844</v>
      </c>
      <c r="I23" s="72"/>
      <c r="J23" s="72" t="s">
        <v>75</v>
      </c>
      <c r="K23" s="71" t="s">
        <v>2844</v>
      </c>
      <c r="L23" s="75">
        <v>896.1326009960783</v>
      </c>
      <c r="M23" s="76">
        <v>3853.117919921875</v>
      </c>
      <c r="N23" s="76">
        <v>7807.119140625</v>
      </c>
      <c r="O23" s="77"/>
      <c r="P23" s="78"/>
      <c r="Q23" s="78"/>
      <c r="R23" s="90"/>
      <c r="S23" s="49">
        <v>0</v>
      </c>
      <c r="T23" s="49">
        <v>2</v>
      </c>
      <c r="U23" s="50">
        <v>21282.585714</v>
      </c>
      <c r="V23" s="50">
        <v>0.235298</v>
      </c>
      <c r="W23" s="51"/>
      <c r="X23" s="51"/>
      <c r="Y23" s="51"/>
      <c r="Z23" s="50"/>
      <c r="AA23" s="73">
        <v>23</v>
      </c>
      <c r="AB23" s="73"/>
      <c r="AC23" s="74"/>
      <c r="AD23" s="81" t="s">
        <v>2844</v>
      </c>
      <c r="AE23" s="81"/>
      <c r="AF23" s="81"/>
      <c r="AG23" s="81"/>
      <c r="AH23" s="81"/>
      <c r="AI23" s="81" t="s">
        <v>2079</v>
      </c>
      <c r="AJ23" s="88">
        <v>42023.13214120371</v>
      </c>
      <c r="AK23" s="86" t="str">
        <f>HYPERLINK("https://yt3.ggpht.com/ytc/AIf8zZSH4_TNSQzRfni9PO9MhXwaqmWzRtiKmTviFA=s88-c-k-c0x00ffffff-no-rj")</f>
        <v>https://yt3.ggpht.com/ytc/AIf8zZSH4_TNSQzRfni9PO9MhXwaqmWzRtiKmTviFA=s88-c-k-c0x00ffffff-no-rj</v>
      </c>
      <c r="AL23" s="81">
        <v>0</v>
      </c>
      <c r="AM23" s="81">
        <v>0</v>
      </c>
      <c r="AN23" s="81">
        <v>0</v>
      </c>
      <c r="AO23" s="81" t="b">
        <v>0</v>
      </c>
      <c r="AP23" s="81">
        <v>0</v>
      </c>
      <c r="AQ23" s="81"/>
      <c r="AR23" s="81"/>
      <c r="AS23" s="81" t="s">
        <v>3378</v>
      </c>
      <c r="AT23" s="86" t="str">
        <f>HYPERLINK("https://www.youtube.com/channel/UCyUofwPNAPR-gFOkTB2b2tg")</f>
        <v>https://www.youtube.com/channel/UCyUofwPNAPR-gFOkTB2b2tg</v>
      </c>
      <c r="AU23" s="81" t="str">
        <f>REPLACE(INDEX(GroupVertices[Group],MATCH("~"&amp;Vertices[[#This Row],[Vertex]],GroupVertices[Vertex],0)),1,1,"")</f>
        <v>3</v>
      </c>
      <c r="AV23" s="49" t="s">
        <v>3470</v>
      </c>
      <c r="AW23" s="49" t="s">
        <v>3470</v>
      </c>
      <c r="AX23" s="49" t="s">
        <v>2421</v>
      </c>
      <c r="AY23" s="49" t="s">
        <v>2421</v>
      </c>
      <c r="AZ23" s="49"/>
      <c r="BA23" s="49"/>
      <c r="BB23" s="117" t="s">
        <v>4083</v>
      </c>
      <c r="BC23" s="117" t="s">
        <v>4370</v>
      </c>
      <c r="BD23" s="117" t="s">
        <v>4772</v>
      </c>
      <c r="BE23" s="117" t="s">
        <v>4772</v>
      </c>
      <c r="BF23" s="2"/>
      <c r="BG23" s="3"/>
      <c r="BH23" s="3"/>
      <c r="BI23" s="3"/>
      <c r="BJ23" s="3"/>
    </row>
    <row r="24" spans="1:62" ht="15">
      <c r="A24" s="66" t="s">
        <v>389</v>
      </c>
      <c r="B24" s="67"/>
      <c r="C24" s="67"/>
      <c r="D24" s="68">
        <v>5000</v>
      </c>
      <c r="E24" s="70"/>
      <c r="F24" s="105" t="str">
        <f>HYPERLINK("https://yt3.ggpht.com/ytc/AIf8zZSEUTnSbjoSo2oPvUntRM1CPo8Im1cIRx8Q-_gMjnw=s88-c-k-c0x00ffffff-no-rj")</f>
        <v>https://yt3.ggpht.com/ytc/AIf8zZSEUTnSbjoSo2oPvUntRM1CPo8Im1cIRx8Q-_gMjnw=s88-c-k-c0x00ffffff-no-rj</v>
      </c>
      <c r="G24" s="67"/>
      <c r="H24" s="71" t="s">
        <v>2619</v>
      </c>
      <c r="I24" s="72"/>
      <c r="J24" s="72" t="s">
        <v>75</v>
      </c>
      <c r="K24" s="71" t="s">
        <v>2619</v>
      </c>
      <c r="L24" s="75">
        <v>785.9732469189543</v>
      </c>
      <c r="M24" s="76">
        <v>6973.82470703125</v>
      </c>
      <c r="N24" s="76">
        <v>7635.85107421875</v>
      </c>
      <c r="O24" s="77"/>
      <c r="P24" s="78"/>
      <c r="Q24" s="78"/>
      <c r="R24" s="90"/>
      <c r="S24" s="49">
        <v>0</v>
      </c>
      <c r="T24" s="49">
        <v>2</v>
      </c>
      <c r="U24" s="50">
        <v>18663.447619</v>
      </c>
      <c r="V24" s="50">
        <v>0.287367</v>
      </c>
      <c r="W24" s="51"/>
      <c r="X24" s="51"/>
      <c r="Y24" s="51"/>
      <c r="Z24" s="50"/>
      <c r="AA24" s="73">
        <v>24</v>
      </c>
      <c r="AB24" s="73"/>
      <c r="AC24" s="74"/>
      <c r="AD24" s="81" t="s">
        <v>2619</v>
      </c>
      <c r="AE24" s="81"/>
      <c r="AF24" s="81"/>
      <c r="AG24" s="81"/>
      <c r="AH24" s="81"/>
      <c r="AI24" s="81" t="s">
        <v>1855</v>
      </c>
      <c r="AJ24" s="88">
        <v>41516.837164351855</v>
      </c>
      <c r="AK24" s="86" t="str">
        <f>HYPERLINK("https://yt3.ggpht.com/ytc/AIf8zZSEUTnSbjoSo2oPvUntRM1CPo8Im1cIRx8Q-_gMjnw=s88-c-k-c0x00ffffff-no-rj")</f>
        <v>https://yt3.ggpht.com/ytc/AIf8zZSEUTnSbjoSo2oPvUntRM1CPo8Im1cIRx8Q-_gMjnw=s88-c-k-c0x00ffffff-no-rj</v>
      </c>
      <c r="AL24" s="81">
        <v>29316</v>
      </c>
      <c r="AM24" s="81">
        <v>0</v>
      </c>
      <c r="AN24" s="81">
        <v>43</v>
      </c>
      <c r="AO24" s="81" t="b">
        <v>0</v>
      </c>
      <c r="AP24" s="81">
        <v>65</v>
      </c>
      <c r="AQ24" s="81"/>
      <c r="AR24" s="81"/>
      <c r="AS24" s="81" t="s">
        <v>3378</v>
      </c>
      <c r="AT24" s="86" t="str">
        <f>HYPERLINK("https://www.youtube.com/channel/UC17mErxjAd4oawIh0PhYMRw")</f>
        <v>https://www.youtube.com/channel/UC17mErxjAd4oawIh0PhYMRw</v>
      </c>
      <c r="AU24" s="81" t="str">
        <f>REPLACE(INDEX(GroupVertices[Group],MATCH("~"&amp;Vertices[[#This Row],[Vertex]],GroupVertices[Vertex],0)),1,1,"")</f>
        <v>4</v>
      </c>
      <c r="AV24" s="49"/>
      <c r="AW24" s="49"/>
      <c r="AX24" s="49"/>
      <c r="AY24" s="49"/>
      <c r="AZ24" s="49"/>
      <c r="BA24" s="49"/>
      <c r="BB24" s="117" t="s">
        <v>3861</v>
      </c>
      <c r="BC24" s="117" t="s">
        <v>4359</v>
      </c>
      <c r="BD24" s="117" t="s">
        <v>4559</v>
      </c>
      <c r="BE24" s="117" t="s">
        <v>4559</v>
      </c>
      <c r="BF24" s="2"/>
      <c r="BG24" s="3"/>
      <c r="BH24" s="3"/>
      <c r="BI24" s="3"/>
      <c r="BJ24" s="3"/>
    </row>
    <row r="25" spans="1:62" ht="15">
      <c r="A25" s="66" t="s">
        <v>399</v>
      </c>
      <c r="B25" s="67"/>
      <c r="C25" s="67"/>
      <c r="D25" s="68">
        <v>5000</v>
      </c>
      <c r="E25" s="70"/>
      <c r="F25" s="105" t="str">
        <f>HYPERLINK("https://yt3.ggpht.com/ytc/AIf8zZSdJn3N33XeOPGm1ZGHRmxqpIpCpSktL90DQj1Ucw=s88-c-k-c0x00ffffff-no-rj")</f>
        <v>https://yt3.ggpht.com/ytc/AIf8zZSdJn3N33XeOPGm1ZGHRmxqpIpCpSktL90DQj1Ucw=s88-c-k-c0x00ffffff-no-rj</v>
      </c>
      <c r="G25" s="67"/>
      <c r="H25" s="71" t="s">
        <v>2629</v>
      </c>
      <c r="I25" s="72"/>
      <c r="J25" s="72" t="s">
        <v>75</v>
      </c>
      <c r="K25" s="71" t="s">
        <v>2629</v>
      </c>
      <c r="L25" s="75">
        <v>785.9732469189543</v>
      </c>
      <c r="M25" s="76">
        <v>7128.3994140625</v>
      </c>
      <c r="N25" s="76">
        <v>8755.9677734375</v>
      </c>
      <c r="O25" s="77"/>
      <c r="P25" s="78"/>
      <c r="Q25" s="78"/>
      <c r="R25" s="90"/>
      <c r="S25" s="49">
        <v>0</v>
      </c>
      <c r="T25" s="49">
        <v>2</v>
      </c>
      <c r="U25" s="50">
        <v>18663.447619</v>
      </c>
      <c r="V25" s="50">
        <v>0.287367</v>
      </c>
      <c r="W25" s="51"/>
      <c r="X25" s="51"/>
      <c r="Y25" s="51"/>
      <c r="Z25" s="50"/>
      <c r="AA25" s="73">
        <v>25</v>
      </c>
      <c r="AB25" s="73"/>
      <c r="AC25" s="74"/>
      <c r="AD25" s="81" t="s">
        <v>2629</v>
      </c>
      <c r="AE25" s="81" t="s">
        <v>3160</v>
      </c>
      <c r="AF25" s="81"/>
      <c r="AG25" s="81"/>
      <c r="AH25" s="81"/>
      <c r="AI25" s="81" t="s">
        <v>3272</v>
      </c>
      <c r="AJ25" s="88">
        <v>43576.84978009259</v>
      </c>
      <c r="AK25" s="86" t="str">
        <f>HYPERLINK("https://yt3.ggpht.com/ytc/AIf8zZSdJn3N33XeOPGm1ZGHRmxqpIpCpSktL90DQj1Ucw=s88-c-k-c0x00ffffff-no-rj")</f>
        <v>https://yt3.ggpht.com/ytc/AIf8zZSdJn3N33XeOPGm1ZGHRmxqpIpCpSktL90DQj1Ucw=s88-c-k-c0x00ffffff-no-rj</v>
      </c>
      <c r="AL25" s="81">
        <v>38307</v>
      </c>
      <c r="AM25" s="81">
        <v>0</v>
      </c>
      <c r="AN25" s="81">
        <v>783</v>
      </c>
      <c r="AO25" s="81" t="b">
        <v>0</v>
      </c>
      <c r="AP25" s="81">
        <v>12</v>
      </c>
      <c r="AQ25" s="81"/>
      <c r="AR25" s="81"/>
      <c r="AS25" s="81" t="s">
        <v>3378</v>
      </c>
      <c r="AT25" s="86" t="str">
        <f>HYPERLINK("https://www.youtube.com/channel/UCvu1ORatj4p1bd6DC_9qi6w")</f>
        <v>https://www.youtube.com/channel/UCvu1ORatj4p1bd6DC_9qi6w</v>
      </c>
      <c r="AU25" s="81" t="str">
        <f>REPLACE(INDEX(GroupVertices[Group],MATCH("~"&amp;Vertices[[#This Row],[Vertex]],GroupVertices[Vertex],0)),1,1,"")</f>
        <v>4</v>
      </c>
      <c r="AV25" s="49"/>
      <c r="AW25" s="49"/>
      <c r="AX25" s="49"/>
      <c r="AY25" s="49"/>
      <c r="AZ25" s="49"/>
      <c r="BA25" s="49"/>
      <c r="BB25" s="117" t="s">
        <v>3871</v>
      </c>
      <c r="BC25" s="117" t="s">
        <v>4360</v>
      </c>
      <c r="BD25" s="117" t="s">
        <v>4569</v>
      </c>
      <c r="BE25" s="117" t="s">
        <v>5039</v>
      </c>
      <c r="BF25" s="2"/>
      <c r="BG25" s="3"/>
      <c r="BH25" s="3"/>
      <c r="BI25" s="3"/>
      <c r="BJ25" s="3"/>
    </row>
    <row r="26" spans="1:62" ht="15">
      <c r="A26" s="66" t="s">
        <v>437</v>
      </c>
      <c r="B26" s="67"/>
      <c r="C26" s="67"/>
      <c r="D26" s="68">
        <v>5000</v>
      </c>
      <c r="E26" s="70"/>
      <c r="F26" s="105" t="str">
        <f>HYPERLINK("https://yt3.ggpht.com/ytc/AIf8zZQDrcK5IKVRMTaUI9d-2XlRQAynM6LljhQJLoTroA=s88-c-k-c0x00ffffff-no-rj")</f>
        <v>https://yt3.ggpht.com/ytc/AIf8zZQDrcK5IKVRMTaUI9d-2XlRQAynM6LljhQJLoTroA=s88-c-k-c0x00ffffff-no-rj</v>
      </c>
      <c r="G26" s="67"/>
      <c r="H26" s="71" t="s">
        <v>2667</v>
      </c>
      <c r="I26" s="72"/>
      <c r="J26" s="72" t="s">
        <v>75</v>
      </c>
      <c r="K26" s="71" t="s">
        <v>2667</v>
      </c>
      <c r="L26" s="75">
        <v>785.9732469189543</v>
      </c>
      <c r="M26" s="76">
        <v>9633.40234375</v>
      </c>
      <c r="N26" s="76">
        <v>7489.73583984375</v>
      </c>
      <c r="O26" s="77"/>
      <c r="P26" s="78"/>
      <c r="Q26" s="78"/>
      <c r="R26" s="90"/>
      <c r="S26" s="49">
        <v>0</v>
      </c>
      <c r="T26" s="49">
        <v>2</v>
      </c>
      <c r="U26" s="50">
        <v>18663.447619</v>
      </c>
      <c r="V26" s="50">
        <v>0.287367</v>
      </c>
      <c r="W26" s="51"/>
      <c r="X26" s="51"/>
      <c r="Y26" s="51"/>
      <c r="Z26" s="50"/>
      <c r="AA26" s="73">
        <v>26</v>
      </c>
      <c r="AB26" s="73"/>
      <c r="AC26" s="74"/>
      <c r="AD26" s="81" t="s">
        <v>2667</v>
      </c>
      <c r="AE26" s="81"/>
      <c r="AF26" s="81"/>
      <c r="AG26" s="81"/>
      <c r="AH26" s="81"/>
      <c r="AI26" s="81" t="s">
        <v>1903</v>
      </c>
      <c r="AJ26" s="88">
        <v>43224.58896990741</v>
      </c>
      <c r="AK26" s="86" t="str">
        <f>HYPERLINK("https://yt3.ggpht.com/ytc/AIf8zZQDrcK5IKVRMTaUI9d-2XlRQAynM6LljhQJLoTroA=s88-c-k-c0x00ffffff-no-rj")</f>
        <v>https://yt3.ggpht.com/ytc/AIf8zZQDrcK5IKVRMTaUI9d-2XlRQAynM6LljhQJLoTroA=s88-c-k-c0x00ffffff-no-rj</v>
      </c>
      <c r="AL26" s="81">
        <v>0</v>
      </c>
      <c r="AM26" s="81">
        <v>0</v>
      </c>
      <c r="AN26" s="81">
        <v>0</v>
      </c>
      <c r="AO26" s="81" t="b">
        <v>0</v>
      </c>
      <c r="AP26" s="81">
        <v>0</v>
      </c>
      <c r="AQ26" s="81"/>
      <c r="AR26" s="81"/>
      <c r="AS26" s="81" t="s">
        <v>3378</v>
      </c>
      <c r="AT26" s="86" t="str">
        <f>HYPERLINK("https://www.youtube.com/channel/UCAgfcS5orRt1EH4cF6LN7iA")</f>
        <v>https://www.youtube.com/channel/UCAgfcS5orRt1EH4cF6LN7iA</v>
      </c>
      <c r="AU26" s="81" t="str">
        <f>REPLACE(INDEX(GroupVertices[Group],MATCH("~"&amp;Vertices[[#This Row],[Vertex]],GroupVertices[Vertex],0)),1,1,"")</f>
        <v>4</v>
      </c>
      <c r="AV26" s="49"/>
      <c r="AW26" s="49"/>
      <c r="AX26" s="49"/>
      <c r="AY26" s="49"/>
      <c r="AZ26" s="49"/>
      <c r="BA26" s="49"/>
      <c r="BB26" s="117" t="s">
        <v>3909</v>
      </c>
      <c r="BC26" s="117" t="s">
        <v>3909</v>
      </c>
      <c r="BD26" s="117" t="s">
        <v>4604</v>
      </c>
      <c r="BE26" s="117" t="s">
        <v>4604</v>
      </c>
      <c r="BF26" s="2"/>
      <c r="BG26" s="3"/>
      <c r="BH26" s="3"/>
      <c r="BI26" s="3"/>
      <c r="BJ26" s="3"/>
    </row>
    <row r="27" spans="1:62" ht="15">
      <c r="A27" s="66" t="s">
        <v>649</v>
      </c>
      <c r="B27" s="67"/>
      <c r="C27" s="67"/>
      <c r="D27" s="68">
        <v>888.3644730741536</v>
      </c>
      <c r="E27" s="70"/>
      <c r="F27" s="105" t="str">
        <f>HYPERLINK("https://yt3.ggpht.com/ytc/AIf8zZRBu9OPswWOgPibhnRIAm__TGP8YySrNGkCuQ=s88-c-k-c0x00ffffff-no-rj")</f>
        <v>https://yt3.ggpht.com/ytc/AIf8zZRBu9OPswWOgPibhnRIAm__TGP8YySrNGkCuQ=s88-c-k-c0x00ffffff-no-rj</v>
      </c>
      <c r="G27" s="67"/>
      <c r="H27" s="71" t="s">
        <v>2881</v>
      </c>
      <c r="I27" s="72"/>
      <c r="J27" s="72" t="s">
        <v>75</v>
      </c>
      <c r="K27" s="71" t="s">
        <v>2881</v>
      </c>
      <c r="L27" s="75">
        <v>682.8780680454366</v>
      </c>
      <c r="M27" s="76">
        <v>2641.642578125</v>
      </c>
      <c r="N27" s="76">
        <v>300.81646728515625</v>
      </c>
      <c r="O27" s="77"/>
      <c r="P27" s="78"/>
      <c r="Q27" s="78"/>
      <c r="R27" s="90"/>
      <c r="S27" s="49">
        <v>0</v>
      </c>
      <c r="T27" s="49">
        <v>2</v>
      </c>
      <c r="U27" s="50">
        <v>16212.266667</v>
      </c>
      <c r="V27" s="50">
        <v>0.247938</v>
      </c>
      <c r="W27" s="51"/>
      <c r="X27" s="51"/>
      <c r="Y27" s="51"/>
      <c r="Z27" s="50"/>
      <c r="AA27" s="73">
        <v>27</v>
      </c>
      <c r="AB27" s="73"/>
      <c r="AC27" s="74"/>
      <c r="AD27" s="81" t="s">
        <v>2881</v>
      </c>
      <c r="AE27" s="81"/>
      <c r="AF27" s="81"/>
      <c r="AG27" s="81"/>
      <c r="AH27" s="81"/>
      <c r="AI27" s="81" t="s">
        <v>2115</v>
      </c>
      <c r="AJ27" s="88">
        <v>40925.40479166667</v>
      </c>
      <c r="AK27" s="86" t="str">
        <f>HYPERLINK("https://yt3.ggpht.com/ytc/AIf8zZRBu9OPswWOgPibhnRIAm__TGP8YySrNGkCuQ=s88-c-k-c0x00ffffff-no-rj")</f>
        <v>https://yt3.ggpht.com/ytc/AIf8zZRBu9OPswWOgPibhnRIAm__TGP8YySrNGkCuQ=s88-c-k-c0x00ffffff-no-rj</v>
      </c>
      <c r="AL27" s="81">
        <v>0</v>
      </c>
      <c r="AM27" s="81">
        <v>0</v>
      </c>
      <c r="AN27" s="81">
        <v>4</v>
      </c>
      <c r="AO27" s="81" t="b">
        <v>0</v>
      </c>
      <c r="AP27" s="81">
        <v>0</v>
      </c>
      <c r="AQ27" s="81"/>
      <c r="AR27" s="81"/>
      <c r="AS27" s="81" t="s">
        <v>3378</v>
      </c>
      <c r="AT27" s="86" t="str">
        <f>HYPERLINK("https://www.youtube.com/channel/UCaKeBJQKOYVuJfflEPX66jw")</f>
        <v>https://www.youtube.com/channel/UCaKeBJQKOYVuJfflEPX66jw</v>
      </c>
      <c r="AU27" s="81" t="str">
        <f>REPLACE(INDEX(GroupVertices[Group],MATCH("~"&amp;Vertices[[#This Row],[Vertex]],GroupVertices[Vertex],0)),1,1,"")</f>
        <v>2</v>
      </c>
      <c r="AV27" s="49"/>
      <c r="AW27" s="49"/>
      <c r="AX27" s="49"/>
      <c r="AY27" s="49"/>
      <c r="AZ27" s="49"/>
      <c r="BA27" s="49"/>
      <c r="BB27" s="117" t="s">
        <v>4119</v>
      </c>
      <c r="BC27" s="117" t="s">
        <v>4372</v>
      </c>
      <c r="BD27" s="117" t="s">
        <v>4806</v>
      </c>
      <c r="BE27" s="117" t="s">
        <v>5042</v>
      </c>
      <c r="BF27" s="2"/>
      <c r="BG27" s="3"/>
      <c r="BH27" s="3"/>
      <c r="BI27" s="3"/>
      <c r="BJ27" s="3"/>
    </row>
    <row r="28" spans="1:62" ht="15">
      <c r="A28" s="66" t="s">
        <v>897</v>
      </c>
      <c r="B28" s="67"/>
      <c r="C28" s="67"/>
      <c r="D28" s="68">
        <v>888.3644730741536</v>
      </c>
      <c r="E28" s="70"/>
      <c r="F28" s="105" t="str">
        <f>HYPERLINK("https://yt3.ggpht.com/ytc/AIf8zZRGQi9GrRjKFOUvFf7wEEiKhIMBzNDIo9EXTfPYWB_a2FqTV1Zfl7x2YMPMlMF8=s88-c-k-c0x00ffffff-no-rj")</f>
        <v>https://yt3.ggpht.com/ytc/AIf8zZRGQi9GrRjKFOUvFf7wEEiKhIMBzNDIo9EXTfPYWB_a2FqTV1Zfl7x2YMPMlMF8=s88-c-k-c0x00ffffff-no-rj</v>
      </c>
      <c r="G28" s="67"/>
      <c r="H28" s="71" t="s">
        <v>3129</v>
      </c>
      <c r="I28" s="72"/>
      <c r="J28" s="72" t="s">
        <v>75</v>
      </c>
      <c r="K28" s="71" t="s">
        <v>3129</v>
      </c>
      <c r="L28" s="75">
        <v>682.8780680454366</v>
      </c>
      <c r="M28" s="76">
        <v>833.277099609375</v>
      </c>
      <c r="N28" s="76">
        <v>496.50482177734375</v>
      </c>
      <c r="O28" s="77"/>
      <c r="P28" s="78"/>
      <c r="Q28" s="78"/>
      <c r="R28" s="90"/>
      <c r="S28" s="49">
        <v>0</v>
      </c>
      <c r="T28" s="49">
        <v>2</v>
      </c>
      <c r="U28" s="50">
        <v>16212.266667</v>
      </c>
      <c r="V28" s="50">
        <v>0.247938</v>
      </c>
      <c r="W28" s="51"/>
      <c r="X28" s="51"/>
      <c r="Y28" s="51"/>
      <c r="Z28" s="50"/>
      <c r="AA28" s="73">
        <v>28</v>
      </c>
      <c r="AB28" s="73"/>
      <c r="AC28" s="74"/>
      <c r="AD28" s="81" t="s">
        <v>3129</v>
      </c>
      <c r="AE28" s="81"/>
      <c r="AF28" s="81"/>
      <c r="AG28" s="81"/>
      <c r="AH28" s="81"/>
      <c r="AI28" s="81" t="s">
        <v>3377</v>
      </c>
      <c r="AJ28" s="88">
        <v>44703.38462962963</v>
      </c>
      <c r="AK28" s="86" t="str">
        <f>HYPERLINK("https://yt3.ggpht.com/ytc/AIf8zZRGQi9GrRjKFOUvFf7wEEiKhIMBzNDIo9EXTfPYWB_a2FqTV1Zfl7x2YMPMlMF8=s88-c-k-c0x00ffffff-no-rj")</f>
        <v>https://yt3.ggpht.com/ytc/AIf8zZRGQi9GrRjKFOUvFf7wEEiKhIMBzNDIo9EXTfPYWB_a2FqTV1Zfl7x2YMPMlMF8=s88-c-k-c0x00ffffff-no-rj</v>
      </c>
      <c r="AL28" s="81">
        <v>0</v>
      </c>
      <c r="AM28" s="81">
        <v>0</v>
      </c>
      <c r="AN28" s="81">
        <v>1</v>
      </c>
      <c r="AO28" s="81" t="b">
        <v>0</v>
      </c>
      <c r="AP28" s="81">
        <v>0</v>
      </c>
      <c r="AQ28" s="81"/>
      <c r="AR28" s="81"/>
      <c r="AS28" s="81" t="s">
        <v>3378</v>
      </c>
      <c r="AT28" s="86" t="str">
        <f>HYPERLINK("https://www.youtube.com/channel/UCBP3JmPkgV1yAQFT6au4u3A")</f>
        <v>https://www.youtube.com/channel/UCBP3JmPkgV1yAQFT6au4u3A</v>
      </c>
      <c r="AU28" s="81" t="str">
        <f>REPLACE(INDEX(GroupVertices[Group],MATCH("~"&amp;Vertices[[#This Row],[Vertex]],GroupVertices[Vertex],0)),1,1,"")</f>
        <v>2</v>
      </c>
      <c r="AV28" s="49"/>
      <c r="AW28" s="49"/>
      <c r="AX28" s="49"/>
      <c r="AY28" s="49"/>
      <c r="AZ28" s="49"/>
      <c r="BA28" s="49"/>
      <c r="BB28" s="117" t="s">
        <v>4355</v>
      </c>
      <c r="BC28" s="117" t="s">
        <v>4387</v>
      </c>
      <c r="BD28" s="117" t="s">
        <v>5035</v>
      </c>
      <c r="BE28" s="117" t="s">
        <v>5035</v>
      </c>
      <c r="BF28" s="2"/>
      <c r="BG28" s="3"/>
      <c r="BH28" s="3"/>
      <c r="BI28" s="3"/>
      <c r="BJ28" s="3"/>
    </row>
    <row r="29" spans="1:62" ht="15">
      <c r="A29" s="66" t="s">
        <v>904</v>
      </c>
      <c r="B29" s="67"/>
      <c r="C29" s="67"/>
      <c r="D29" s="68">
        <v>50</v>
      </c>
      <c r="E29" s="70"/>
      <c r="F29" s="105" t="str">
        <f>HYPERLINK("https://yt3.ggpht.com/ytc/AIf8zZS0VLnrM9Ct_ah6z2kSAIpViPpuDOX06bCV4nNz=s88-c-k-c0x00ffffff-no-rj")</f>
        <v>https://yt3.ggpht.com/ytc/AIf8zZS0VLnrM9Ct_ah6z2kSAIpViPpuDOX06bCV4nNz=s88-c-k-c0x00ffffff-no-rj</v>
      </c>
      <c r="G29" s="67"/>
      <c r="H29" s="71" t="s">
        <v>2851</v>
      </c>
      <c r="I29" s="72"/>
      <c r="J29" s="72" t="s">
        <v>75</v>
      </c>
      <c r="K29" s="71" t="s">
        <v>2851</v>
      </c>
      <c r="L29" s="75">
        <v>1.2523563479621502</v>
      </c>
      <c r="M29" s="76">
        <v>8474.0283203125</v>
      </c>
      <c r="N29" s="76">
        <v>259.12042236328125</v>
      </c>
      <c r="O29" s="77"/>
      <c r="P29" s="78"/>
      <c r="Q29" s="78"/>
      <c r="R29" s="90"/>
      <c r="S29" s="49">
        <v>4</v>
      </c>
      <c r="T29" s="49">
        <v>1</v>
      </c>
      <c r="U29" s="50">
        <v>6</v>
      </c>
      <c r="V29" s="50">
        <v>0.004304</v>
      </c>
      <c r="W29" s="51"/>
      <c r="X29" s="51"/>
      <c r="Y29" s="51"/>
      <c r="Z29" s="50"/>
      <c r="AA29" s="73">
        <v>29</v>
      </c>
      <c r="AB29" s="73"/>
      <c r="AC29" s="74"/>
      <c r="AD29" s="81" t="s">
        <v>2851</v>
      </c>
      <c r="AE29" s="81" t="s">
        <v>3186</v>
      </c>
      <c r="AF29" s="81"/>
      <c r="AG29" s="81"/>
      <c r="AH29" s="81"/>
      <c r="AI29" s="81" t="s">
        <v>3316</v>
      </c>
      <c r="AJ29" s="88">
        <v>42849.87572916667</v>
      </c>
      <c r="AK29" s="86" t="str">
        <f>HYPERLINK("https://yt3.ggpht.com/ytc/AIf8zZS0VLnrM9Ct_ah6z2kSAIpViPpuDOX06bCV4nNz=s88-c-k-c0x00ffffff-no-rj")</f>
        <v>https://yt3.ggpht.com/ytc/AIf8zZS0VLnrM9Ct_ah6z2kSAIpViPpuDOX06bCV4nNz=s88-c-k-c0x00ffffff-no-rj</v>
      </c>
      <c r="AL29" s="81">
        <v>24161</v>
      </c>
      <c r="AM29" s="81">
        <v>0</v>
      </c>
      <c r="AN29" s="81">
        <v>185</v>
      </c>
      <c r="AO29" s="81" t="b">
        <v>0</v>
      </c>
      <c r="AP29" s="81">
        <v>27</v>
      </c>
      <c r="AQ29" s="81"/>
      <c r="AR29" s="81"/>
      <c r="AS29" s="81" t="s">
        <v>3378</v>
      </c>
      <c r="AT29" s="86" t="str">
        <f>HYPERLINK("https://www.youtube.com/channel/UCz4LQH4521QcE2pu6ClWvXw")</f>
        <v>https://www.youtube.com/channel/UCz4LQH4521QcE2pu6ClWvXw</v>
      </c>
      <c r="AU29" s="81" t="str">
        <f>REPLACE(INDEX(GroupVertices[Group],MATCH("~"&amp;Vertices[[#This Row],[Vertex]],GroupVertices[Vertex],0)),1,1,"")</f>
        <v>8</v>
      </c>
      <c r="AV29" s="49"/>
      <c r="AW29" s="49"/>
      <c r="AX29" s="49"/>
      <c r="AY29" s="49"/>
      <c r="AZ29" s="49"/>
      <c r="BA29" s="49"/>
      <c r="BB29" s="117" t="s">
        <v>2423</v>
      </c>
      <c r="BC29" s="117" t="s">
        <v>2423</v>
      </c>
      <c r="BD29" s="117" t="s">
        <v>2423</v>
      </c>
      <c r="BE29" s="117" t="s">
        <v>2423</v>
      </c>
      <c r="BF29" s="2"/>
      <c r="BG29" s="3"/>
      <c r="BH29" s="3"/>
      <c r="BI29" s="3"/>
      <c r="BJ29" s="3"/>
    </row>
    <row r="30" spans="1:62" ht="15">
      <c r="A30" s="66" t="s">
        <v>900</v>
      </c>
      <c r="B30" s="67"/>
      <c r="C30" s="67"/>
      <c r="D30" s="68">
        <v>50</v>
      </c>
      <c r="E30" s="70"/>
      <c r="F30" s="105" t="str">
        <f>HYPERLINK("https://yt3.ggpht.com/ZMZ_Zu3J8LCwvifA5QaI_X60pXsjgXXO_SjycHrQ1MR2NLgacGSyBm6Y4DvAH48Q8lxlsIH5FyE=s88-c-k-c0x00ffffff-no-rj")</f>
        <v>https://yt3.ggpht.com/ZMZ_Zu3J8LCwvifA5QaI_X60pXsjgXXO_SjycHrQ1MR2NLgacGSyBm6Y4DvAH48Q8lxlsIH5FyE=s88-c-k-c0x00ffffff-no-rj</v>
      </c>
      <c r="G30" s="67"/>
      <c r="H30" s="71" t="s">
        <v>2492</v>
      </c>
      <c r="I30" s="72"/>
      <c r="J30" s="72" t="s">
        <v>75</v>
      </c>
      <c r="K30" s="71" t="s">
        <v>2492</v>
      </c>
      <c r="L30" s="75">
        <v>1.0841187826540502</v>
      </c>
      <c r="M30" s="76">
        <v>9439.0771484375</v>
      </c>
      <c r="N30" s="76">
        <v>259.12042236328125</v>
      </c>
      <c r="O30" s="77"/>
      <c r="P30" s="78"/>
      <c r="Q30" s="78"/>
      <c r="R30" s="90"/>
      <c r="S30" s="49">
        <v>3</v>
      </c>
      <c r="T30" s="49">
        <v>1</v>
      </c>
      <c r="U30" s="50">
        <v>2</v>
      </c>
      <c r="V30" s="50">
        <v>0.002869</v>
      </c>
      <c r="W30" s="51"/>
      <c r="X30" s="51"/>
      <c r="Y30" s="51"/>
      <c r="Z30" s="50"/>
      <c r="AA30" s="73">
        <v>30</v>
      </c>
      <c r="AB30" s="73"/>
      <c r="AC30" s="74"/>
      <c r="AD30" s="81" t="s">
        <v>2492</v>
      </c>
      <c r="AE30" s="81" t="s">
        <v>3139</v>
      </c>
      <c r="AF30" s="81"/>
      <c r="AG30" s="81"/>
      <c r="AH30" s="81"/>
      <c r="AI30" s="81" t="s">
        <v>3240</v>
      </c>
      <c r="AJ30" s="88">
        <v>40535.03271990741</v>
      </c>
      <c r="AK30" s="86" t="str">
        <f>HYPERLINK("https://yt3.ggpht.com/ZMZ_Zu3J8LCwvifA5QaI_X60pXsjgXXO_SjycHrQ1MR2NLgacGSyBm6Y4DvAH48Q8lxlsIH5FyE=s88-c-k-c0x00ffffff-no-rj")</f>
        <v>https://yt3.ggpht.com/ZMZ_Zu3J8LCwvifA5QaI_X60pXsjgXXO_SjycHrQ1MR2NLgacGSyBm6Y4DvAH48Q8lxlsIH5FyE=s88-c-k-c0x00ffffff-no-rj</v>
      </c>
      <c r="AL30" s="81">
        <v>90983142</v>
      </c>
      <c r="AM30" s="81">
        <v>0</v>
      </c>
      <c r="AN30" s="81">
        <v>353000</v>
      </c>
      <c r="AO30" s="81" t="b">
        <v>0</v>
      </c>
      <c r="AP30" s="81">
        <v>1658</v>
      </c>
      <c r="AQ30" s="81"/>
      <c r="AR30" s="81"/>
      <c r="AS30" s="81" t="s">
        <v>3378</v>
      </c>
      <c r="AT30" s="86" t="str">
        <f>HYPERLINK("https://www.youtube.com/channel/UCMliswJ7oukCeW35GSayhRA")</f>
        <v>https://www.youtube.com/channel/UCMliswJ7oukCeW35GSayhRA</v>
      </c>
      <c r="AU30" s="81" t="str">
        <f>REPLACE(INDEX(GroupVertices[Group],MATCH("~"&amp;Vertices[[#This Row],[Vertex]],GroupVertices[Vertex],0)),1,1,"")</f>
        <v>9</v>
      </c>
      <c r="AV30" s="49"/>
      <c r="AW30" s="49"/>
      <c r="AX30" s="49"/>
      <c r="AY30" s="49"/>
      <c r="AZ30" s="49"/>
      <c r="BA30" s="49"/>
      <c r="BB30" s="117" t="s">
        <v>2423</v>
      </c>
      <c r="BC30" s="117" t="s">
        <v>2423</v>
      </c>
      <c r="BD30" s="117" t="s">
        <v>2423</v>
      </c>
      <c r="BE30" s="117" t="s">
        <v>2423</v>
      </c>
      <c r="BF30" s="2"/>
      <c r="BG30" s="3"/>
      <c r="BH30" s="3"/>
      <c r="BI30" s="3"/>
      <c r="BJ30" s="3"/>
    </row>
    <row r="31" spans="1:62" ht="15">
      <c r="A31" s="66" t="s">
        <v>908</v>
      </c>
      <c r="B31" s="67"/>
      <c r="C31" s="67"/>
      <c r="D31" s="68">
        <v>50</v>
      </c>
      <c r="E31" s="70"/>
      <c r="F31" s="105" t="str">
        <f>HYPERLINK("https://yt3.ggpht.com/ytc/AIf8zZSIMOYRGhjW2cVvc8JA8LW9hswWFmw5e6ttZA=s88-c-k-c0x00ffffff-no-rj")</f>
        <v>https://yt3.ggpht.com/ytc/AIf8zZSIMOYRGhjW2cVvc8JA8LW9hswWFmw5e6ttZA=s88-c-k-c0x00ffffff-no-rj</v>
      </c>
      <c r="G31" s="67"/>
      <c r="H31" s="71" t="s">
        <v>3131</v>
      </c>
      <c r="I31" s="72"/>
      <c r="J31" s="72" t="s">
        <v>159</v>
      </c>
      <c r="K31" s="71" t="s">
        <v>3131</v>
      </c>
      <c r="L31" s="75">
        <v>1</v>
      </c>
      <c r="M31" s="76">
        <v>9206.083984375</v>
      </c>
      <c r="N31" s="76">
        <v>5609.1953125</v>
      </c>
      <c r="O31" s="77"/>
      <c r="P31" s="78"/>
      <c r="Q31" s="78"/>
      <c r="R31" s="49"/>
      <c r="S31" s="49">
        <v>0</v>
      </c>
      <c r="T31" s="49">
        <v>1</v>
      </c>
      <c r="U31" s="50">
        <v>0</v>
      </c>
      <c r="V31" s="50">
        <v>0.228681</v>
      </c>
      <c r="W31" s="50"/>
      <c r="X31" s="51"/>
      <c r="Y31" s="50"/>
      <c r="Z31" s="50"/>
      <c r="AA31" s="73">
        <v>31</v>
      </c>
      <c r="AB31" s="73"/>
      <c r="AC31" s="74"/>
      <c r="AD31" s="81" t="s">
        <v>3131</v>
      </c>
      <c r="AE31" s="81"/>
      <c r="AF31" s="81"/>
      <c r="AG31" s="81"/>
      <c r="AH31" s="81"/>
      <c r="AI31" s="81" t="s">
        <v>2365</v>
      </c>
      <c r="AJ31" s="88">
        <v>42213.85105324074</v>
      </c>
      <c r="AK31" s="86" t="str">
        <f>HYPERLINK("https://yt3.ggpht.com/ytc/AIf8zZSIMOYRGhjW2cVvc8JA8LW9hswWFmw5e6ttZA=s88-c-k-c0x00ffffff-no-rj")</f>
        <v>https://yt3.ggpht.com/ytc/AIf8zZSIMOYRGhjW2cVvc8JA8LW9hswWFmw5e6ttZA=s88-c-k-c0x00ffffff-no-rj</v>
      </c>
      <c r="AL31" s="81">
        <v>0</v>
      </c>
      <c r="AM31" s="81">
        <v>0</v>
      </c>
      <c r="AN31" s="81">
        <v>0</v>
      </c>
      <c r="AO31" s="81" t="b">
        <v>0</v>
      </c>
      <c r="AP31" s="81">
        <v>0</v>
      </c>
      <c r="AQ31" s="81"/>
      <c r="AR31" s="81"/>
      <c r="AS31" s="81" t="s">
        <v>3378</v>
      </c>
      <c r="AT31" s="86" t="str">
        <f>HYPERLINK("https://www.youtube.com/channel/UCu6kMy8mE6LAYTg1GQ0rxDA")</f>
        <v>https://www.youtube.com/channel/UCu6kMy8mE6LAYTg1GQ0rxDA</v>
      </c>
      <c r="AU31" s="81" t="str">
        <f>REPLACE(INDEX(GroupVertices[Group],MATCH("~"&amp;Vertices[[#This Row],[Vertex]],GroupVertices[Vertex],0)),1,1,"")</f>
        <v>7</v>
      </c>
      <c r="AV31" s="49"/>
      <c r="AW31" s="49"/>
      <c r="AX31" s="49"/>
      <c r="AY31" s="49"/>
      <c r="AZ31" s="49"/>
      <c r="BA31" s="49"/>
      <c r="BB31" s="117" t="s">
        <v>3685</v>
      </c>
      <c r="BC31" s="117" t="s">
        <v>3685</v>
      </c>
      <c r="BD31" s="117" t="s">
        <v>4389</v>
      </c>
      <c r="BE31" s="117" t="s">
        <v>4389</v>
      </c>
      <c r="BF31" s="2"/>
      <c r="BG31" s="3"/>
      <c r="BH31" s="3"/>
      <c r="BI31" s="3"/>
      <c r="BJ31" s="3"/>
    </row>
    <row r="32" spans="1:62" ht="15">
      <c r="A32" s="66" t="s">
        <v>211</v>
      </c>
      <c r="B32" s="67"/>
      <c r="C32" s="67"/>
      <c r="D32" s="68">
        <v>50</v>
      </c>
      <c r="E32" s="70"/>
      <c r="F32" s="105" t="str">
        <f>HYPERLINK("https://yt3.ggpht.com/ytc/AIf8zZQwvtlt3igZOV2uPuebm21G1pbC3fJmhldCHA=s88-c-k-c0x00ffffff-no-rj")</f>
        <v>https://yt3.ggpht.com/ytc/AIf8zZQwvtlt3igZOV2uPuebm21G1pbC3fJmhldCHA=s88-c-k-c0x00ffffff-no-rj</v>
      </c>
      <c r="G32" s="67"/>
      <c r="H32" s="71" t="s">
        <v>2438</v>
      </c>
      <c r="I32" s="72"/>
      <c r="J32" s="72" t="s">
        <v>159</v>
      </c>
      <c r="K32" s="71" t="s">
        <v>2438</v>
      </c>
      <c r="L32" s="75">
        <v>1</v>
      </c>
      <c r="M32" s="76">
        <v>9086.1533203125</v>
      </c>
      <c r="N32" s="76">
        <v>1092.5819091796875</v>
      </c>
      <c r="O32" s="77"/>
      <c r="P32" s="78"/>
      <c r="Q32" s="78"/>
      <c r="R32" s="90"/>
      <c r="S32" s="49">
        <v>0</v>
      </c>
      <c r="T32" s="49">
        <v>1</v>
      </c>
      <c r="U32" s="50">
        <v>0</v>
      </c>
      <c r="V32" s="50">
        <v>0.228681</v>
      </c>
      <c r="W32" s="51"/>
      <c r="X32" s="51"/>
      <c r="Y32" s="51"/>
      <c r="Z32" s="50"/>
      <c r="AA32" s="73">
        <v>32</v>
      </c>
      <c r="AB32" s="73"/>
      <c r="AC32" s="74"/>
      <c r="AD32" s="81" t="s">
        <v>2438</v>
      </c>
      <c r="AE32" s="81"/>
      <c r="AF32" s="81"/>
      <c r="AG32" s="81"/>
      <c r="AH32" s="81"/>
      <c r="AI32" s="81" t="s">
        <v>3228</v>
      </c>
      <c r="AJ32" s="88">
        <v>40819.02563657407</v>
      </c>
      <c r="AK32" s="86" t="str">
        <f>HYPERLINK("https://yt3.ggpht.com/ytc/AIf8zZQwvtlt3igZOV2uPuebm21G1pbC3fJmhldCHA=s88-c-k-c0x00ffffff-no-rj")</f>
        <v>https://yt3.ggpht.com/ytc/AIf8zZQwvtlt3igZOV2uPuebm21G1pbC3fJmhldCHA=s88-c-k-c0x00ffffff-no-rj</v>
      </c>
      <c r="AL32" s="81">
        <v>0</v>
      </c>
      <c r="AM32" s="81">
        <v>0</v>
      </c>
      <c r="AN32" s="81">
        <v>0</v>
      </c>
      <c r="AO32" s="81" t="b">
        <v>0</v>
      </c>
      <c r="AP32" s="81">
        <v>0</v>
      </c>
      <c r="AQ32" s="81"/>
      <c r="AR32" s="81"/>
      <c r="AS32" s="81" t="s">
        <v>3378</v>
      </c>
      <c r="AT32" s="86" t="str">
        <f>HYPERLINK("https://www.youtube.com/channel/UCOR5bbNuL0BDdtWKKj4JJaw")</f>
        <v>https://www.youtube.com/channel/UCOR5bbNuL0BDdtWKKj4JJaw</v>
      </c>
      <c r="AU32" s="81" t="str">
        <f>REPLACE(INDEX(GroupVertices[Group],MATCH("~"&amp;Vertices[[#This Row],[Vertex]],GroupVertices[Vertex],0)),1,1,"")</f>
        <v>7</v>
      </c>
      <c r="AV32" s="49"/>
      <c r="AW32" s="49"/>
      <c r="AX32" s="49"/>
      <c r="AY32" s="49"/>
      <c r="AZ32" s="49"/>
      <c r="BA32" s="49"/>
      <c r="BB32" s="117" t="s">
        <v>3686</v>
      </c>
      <c r="BC32" s="117" t="s">
        <v>3686</v>
      </c>
      <c r="BD32" s="117" t="s">
        <v>4390</v>
      </c>
      <c r="BE32" s="117" t="s">
        <v>4390</v>
      </c>
      <c r="BF32" s="2"/>
      <c r="BG32" s="3"/>
      <c r="BH32" s="3"/>
      <c r="BI32" s="3"/>
      <c r="BJ32" s="3"/>
    </row>
    <row r="33" spans="1:62" ht="15">
      <c r="A33" s="66" t="s">
        <v>212</v>
      </c>
      <c r="B33" s="67"/>
      <c r="C33" s="67"/>
      <c r="D33" s="68">
        <v>50</v>
      </c>
      <c r="E33" s="70"/>
      <c r="F33" s="105" t="str">
        <f>HYPERLINK("https://yt3.ggpht.com/ytc/AIf8zZQr0Au7WFRrlfkUEmk1sDI7AowV4hADnPdFxg=s88-c-k-c0x00ffffff-no-rj")</f>
        <v>https://yt3.ggpht.com/ytc/AIf8zZQr0Au7WFRrlfkUEmk1sDI7AowV4hADnPdFxg=s88-c-k-c0x00ffffff-no-rj</v>
      </c>
      <c r="G33" s="67"/>
      <c r="H33" s="71" t="s">
        <v>2439</v>
      </c>
      <c r="I33" s="72"/>
      <c r="J33" s="72" t="s">
        <v>159</v>
      </c>
      <c r="K33" s="71" t="s">
        <v>2439</v>
      </c>
      <c r="L33" s="75">
        <v>1</v>
      </c>
      <c r="M33" s="76">
        <v>8870.1845703125</v>
      </c>
      <c r="N33" s="76">
        <v>2294.802978515625</v>
      </c>
      <c r="O33" s="77"/>
      <c r="P33" s="78"/>
      <c r="Q33" s="78"/>
      <c r="R33" s="90"/>
      <c r="S33" s="49">
        <v>0</v>
      </c>
      <c r="T33" s="49">
        <v>1</v>
      </c>
      <c r="U33" s="50">
        <v>0</v>
      </c>
      <c r="V33" s="50">
        <v>0.228681</v>
      </c>
      <c r="W33" s="51"/>
      <c r="X33" s="51"/>
      <c r="Y33" s="51"/>
      <c r="Z33" s="50"/>
      <c r="AA33" s="73">
        <v>33</v>
      </c>
      <c r="AB33" s="73"/>
      <c r="AC33" s="74"/>
      <c r="AD33" s="81" t="s">
        <v>2439</v>
      </c>
      <c r="AE33" s="81"/>
      <c r="AF33" s="81"/>
      <c r="AG33" s="81"/>
      <c r="AH33" s="81"/>
      <c r="AI33" s="81" t="s">
        <v>3229</v>
      </c>
      <c r="AJ33" s="88">
        <v>40757.59274305555</v>
      </c>
      <c r="AK33" s="86" t="str">
        <f>HYPERLINK("https://yt3.ggpht.com/ytc/AIf8zZQr0Au7WFRrlfkUEmk1sDI7AowV4hADnPdFxg=s88-c-k-c0x00ffffff-no-rj")</f>
        <v>https://yt3.ggpht.com/ytc/AIf8zZQr0Au7WFRrlfkUEmk1sDI7AowV4hADnPdFxg=s88-c-k-c0x00ffffff-no-rj</v>
      </c>
      <c r="AL33" s="81">
        <v>87</v>
      </c>
      <c r="AM33" s="81">
        <v>0</v>
      </c>
      <c r="AN33" s="81">
        <v>1</v>
      </c>
      <c r="AO33" s="81" t="b">
        <v>0</v>
      </c>
      <c r="AP33" s="81">
        <v>2</v>
      </c>
      <c r="AQ33" s="81"/>
      <c r="AR33" s="81"/>
      <c r="AS33" s="81" t="s">
        <v>3378</v>
      </c>
      <c r="AT33" s="86" t="str">
        <f>HYPERLINK("https://www.youtube.com/channel/UCi5-Pht3ow3fVTJcq8GYg5Q")</f>
        <v>https://www.youtube.com/channel/UCi5-Pht3ow3fVTJcq8GYg5Q</v>
      </c>
      <c r="AU33" s="81" t="str">
        <f>REPLACE(INDEX(GroupVertices[Group],MATCH("~"&amp;Vertices[[#This Row],[Vertex]],GroupVertices[Vertex],0)),1,1,"")</f>
        <v>7</v>
      </c>
      <c r="AV33" s="49"/>
      <c r="AW33" s="49"/>
      <c r="AX33" s="49"/>
      <c r="AY33" s="49"/>
      <c r="AZ33" s="49"/>
      <c r="BA33" s="49"/>
      <c r="BB33" s="117" t="s">
        <v>3687</v>
      </c>
      <c r="BC33" s="117" t="s">
        <v>3687</v>
      </c>
      <c r="BD33" s="117" t="s">
        <v>4391</v>
      </c>
      <c r="BE33" s="117" t="s">
        <v>4391</v>
      </c>
      <c r="BF33" s="2"/>
      <c r="BG33" s="3"/>
      <c r="BH33" s="3"/>
      <c r="BI33" s="3"/>
      <c r="BJ33" s="3"/>
    </row>
    <row r="34" spans="1:62" ht="15">
      <c r="A34" s="66" t="s">
        <v>213</v>
      </c>
      <c r="B34" s="67"/>
      <c r="C34" s="67"/>
      <c r="D34" s="68">
        <v>50</v>
      </c>
      <c r="E34" s="70"/>
      <c r="F34" s="105" t="str">
        <f>HYPERLINK("https://yt3.ggpht.com/ytc/AIf8zZQ6Cl62mO4leb_v9FD4Fy-pbmSCKiR6UPy4jA=s88-c-k-c0x00ffffff-no-rj")</f>
        <v>https://yt3.ggpht.com/ytc/AIf8zZQ6Cl62mO4leb_v9FD4Fy-pbmSCKiR6UPy4jA=s88-c-k-c0x00ffffff-no-rj</v>
      </c>
      <c r="G34" s="67"/>
      <c r="H34" s="71" t="s">
        <v>2440</v>
      </c>
      <c r="I34" s="72"/>
      <c r="J34" s="72" t="s">
        <v>159</v>
      </c>
      <c r="K34" s="71" t="s">
        <v>2440</v>
      </c>
      <c r="L34" s="75">
        <v>1</v>
      </c>
      <c r="M34" s="76">
        <v>8844.7724609375</v>
      </c>
      <c r="N34" s="76">
        <v>873.5081176757812</v>
      </c>
      <c r="O34" s="77"/>
      <c r="P34" s="78"/>
      <c r="Q34" s="78"/>
      <c r="R34" s="90"/>
      <c r="S34" s="49">
        <v>0</v>
      </c>
      <c r="T34" s="49">
        <v>1</v>
      </c>
      <c r="U34" s="50">
        <v>0</v>
      </c>
      <c r="V34" s="50">
        <v>0.228681</v>
      </c>
      <c r="W34" s="51"/>
      <c r="X34" s="51"/>
      <c r="Y34" s="51"/>
      <c r="Z34" s="50"/>
      <c r="AA34" s="73">
        <v>34</v>
      </c>
      <c r="AB34" s="73"/>
      <c r="AC34" s="74"/>
      <c r="AD34" s="81" t="s">
        <v>2440</v>
      </c>
      <c r="AE34" s="81"/>
      <c r="AF34" s="81"/>
      <c r="AG34" s="81"/>
      <c r="AH34" s="81"/>
      <c r="AI34" s="81" t="s">
        <v>1679</v>
      </c>
      <c r="AJ34" s="88">
        <v>41605.457291666666</v>
      </c>
      <c r="AK34" s="86" t="str">
        <f>HYPERLINK("https://yt3.ggpht.com/ytc/AIf8zZQ6Cl62mO4leb_v9FD4Fy-pbmSCKiR6UPy4jA=s88-c-k-c0x00ffffff-no-rj")</f>
        <v>https://yt3.ggpht.com/ytc/AIf8zZQ6Cl62mO4leb_v9FD4Fy-pbmSCKiR6UPy4jA=s88-c-k-c0x00ffffff-no-rj</v>
      </c>
      <c r="AL34" s="81">
        <v>0</v>
      </c>
      <c r="AM34" s="81">
        <v>0</v>
      </c>
      <c r="AN34" s="81">
        <v>0</v>
      </c>
      <c r="AO34" s="81" t="b">
        <v>0</v>
      </c>
      <c r="AP34" s="81">
        <v>0</v>
      </c>
      <c r="AQ34" s="81"/>
      <c r="AR34" s="81"/>
      <c r="AS34" s="81" t="s">
        <v>3378</v>
      </c>
      <c r="AT34" s="86" t="str">
        <f>HYPERLINK("https://www.youtube.com/channel/UCbtzibf6Cd_3XCIA11XUGzA")</f>
        <v>https://www.youtube.com/channel/UCbtzibf6Cd_3XCIA11XUGzA</v>
      </c>
      <c r="AU34" s="81" t="str">
        <f>REPLACE(INDEX(GroupVertices[Group],MATCH("~"&amp;Vertices[[#This Row],[Vertex]],GroupVertices[Vertex],0)),1,1,"")</f>
        <v>7</v>
      </c>
      <c r="AV34" s="49"/>
      <c r="AW34" s="49"/>
      <c r="AX34" s="49"/>
      <c r="AY34" s="49"/>
      <c r="AZ34" s="49"/>
      <c r="BA34" s="49"/>
      <c r="BB34" s="117" t="s">
        <v>3688</v>
      </c>
      <c r="BC34" s="117" t="s">
        <v>3688</v>
      </c>
      <c r="BD34" s="117" t="s">
        <v>4392</v>
      </c>
      <c r="BE34" s="117" t="s">
        <v>4392</v>
      </c>
      <c r="BF34" s="2"/>
      <c r="BG34" s="3"/>
      <c r="BH34" s="3"/>
      <c r="BI34" s="3"/>
      <c r="BJ34" s="3"/>
    </row>
    <row r="35" spans="1:62" ht="15">
      <c r="A35" s="66" t="s">
        <v>214</v>
      </c>
      <c r="B35" s="67"/>
      <c r="C35" s="67"/>
      <c r="D35" s="68">
        <v>50</v>
      </c>
      <c r="E35" s="70"/>
      <c r="F35" s="105" t="str">
        <f>HYPERLINK("https://yt3.ggpht.com/ytc/AIf8zZRDU4gxTkwJwcEzi6jD8zXxU-azDHLt8fevHQ=s88-c-k-c0x00ffffff-no-rj")</f>
        <v>https://yt3.ggpht.com/ytc/AIf8zZRDU4gxTkwJwcEzi6jD8zXxU-azDHLt8fevHQ=s88-c-k-c0x00ffffff-no-rj</v>
      </c>
      <c r="G35" s="67"/>
      <c r="H35" s="71" t="s">
        <v>2441</v>
      </c>
      <c r="I35" s="72"/>
      <c r="J35" s="72" t="s">
        <v>159</v>
      </c>
      <c r="K35" s="71" t="s">
        <v>2441</v>
      </c>
      <c r="L35" s="75">
        <v>1</v>
      </c>
      <c r="M35" s="76">
        <v>9614.6572265625</v>
      </c>
      <c r="N35" s="76">
        <v>5002.89697265625</v>
      </c>
      <c r="O35" s="77"/>
      <c r="P35" s="78"/>
      <c r="Q35" s="78"/>
      <c r="R35" s="90"/>
      <c r="S35" s="49">
        <v>0</v>
      </c>
      <c r="T35" s="49">
        <v>1</v>
      </c>
      <c r="U35" s="50">
        <v>0</v>
      </c>
      <c r="V35" s="50">
        <v>0.228681</v>
      </c>
      <c r="W35" s="51"/>
      <c r="X35" s="51"/>
      <c r="Y35" s="51"/>
      <c r="Z35" s="50"/>
      <c r="AA35" s="73">
        <v>35</v>
      </c>
      <c r="AB35" s="73"/>
      <c r="AC35" s="74"/>
      <c r="AD35" s="81" t="s">
        <v>2441</v>
      </c>
      <c r="AE35" s="81"/>
      <c r="AF35" s="81"/>
      <c r="AG35" s="81"/>
      <c r="AH35" s="81"/>
      <c r="AI35" s="81" t="s">
        <v>3230</v>
      </c>
      <c r="AJ35" s="88">
        <v>40477.546481481484</v>
      </c>
      <c r="AK35" s="86" t="str">
        <f>HYPERLINK("https://yt3.ggpht.com/ytc/AIf8zZRDU4gxTkwJwcEzi6jD8zXxU-azDHLt8fevHQ=s88-c-k-c0x00ffffff-no-rj")</f>
        <v>https://yt3.ggpht.com/ytc/AIf8zZRDU4gxTkwJwcEzi6jD8zXxU-azDHLt8fevHQ=s88-c-k-c0x00ffffff-no-rj</v>
      </c>
      <c r="AL35" s="81">
        <v>0</v>
      </c>
      <c r="AM35" s="81">
        <v>0</v>
      </c>
      <c r="AN35" s="81">
        <v>2</v>
      </c>
      <c r="AO35" s="81" t="b">
        <v>0</v>
      </c>
      <c r="AP35" s="81">
        <v>0</v>
      </c>
      <c r="AQ35" s="81"/>
      <c r="AR35" s="81"/>
      <c r="AS35" s="81" t="s">
        <v>3378</v>
      </c>
      <c r="AT35" s="86" t="str">
        <f>HYPERLINK("https://www.youtube.com/channel/UC2Za2kvHb1GmLVdE_A2QXTg")</f>
        <v>https://www.youtube.com/channel/UC2Za2kvHb1GmLVdE_A2QXTg</v>
      </c>
      <c r="AU35" s="81" t="str">
        <f>REPLACE(INDEX(GroupVertices[Group],MATCH("~"&amp;Vertices[[#This Row],[Vertex]],GroupVertices[Vertex],0)),1,1,"")</f>
        <v>7</v>
      </c>
      <c r="AV35" s="49"/>
      <c r="AW35" s="49"/>
      <c r="AX35" s="49"/>
      <c r="AY35" s="49"/>
      <c r="AZ35" s="49"/>
      <c r="BA35" s="49"/>
      <c r="BB35" s="117" t="s">
        <v>3689</v>
      </c>
      <c r="BC35" s="117" t="s">
        <v>3689</v>
      </c>
      <c r="BD35" s="117" t="s">
        <v>4393</v>
      </c>
      <c r="BE35" s="117" t="s">
        <v>4393</v>
      </c>
      <c r="BF35" s="2"/>
      <c r="BG35" s="3"/>
      <c r="BH35" s="3"/>
      <c r="BI35" s="3"/>
      <c r="BJ35" s="3"/>
    </row>
    <row r="36" spans="1:62" ht="15">
      <c r="A36" s="66" t="s">
        <v>215</v>
      </c>
      <c r="B36" s="67"/>
      <c r="C36" s="67"/>
      <c r="D36" s="68">
        <v>50</v>
      </c>
      <c r="E36" s="70"/>
      <c r="F36" s="105" t="str">
        <f>HYPERLINK("https://yt3.ggpht.com/ytc/AIf8zZRS1XMk990lZawFhqK8dHksTEayvdrrnnz2egVe2g=s88-c-k-c0x00ffffff-no-rj")</f>
        <v>https://yt3.ggpht.com/ytc/AIf8zZRS1XMk990lZawFhqK8dHksTEayvdrrnnz2egVe2g=s88-c-k-c0x00ffffff-no-rj</v>
      </c>
      <c r="G36" s="67"/>
      <c r="H36" s="71" t="s">
        <v>2442</v>
      </c>
      <c r="I36" s="72"/>
      <c r="J36" s="72" t="s">
        <v>159</v>
      </c>
      <c r="K36" s="71" t="s">
        <v>2442</v>
      </c>
      <c r="L36" s="75">
        <v>1</v>
      </c>
      <c r="M36" s="76">
        <v>8361.396484375</v>
      </c>
      <c r="N36" s="76">
        <v>2556.104248046875</v>
      </c>
      <c r="O36" s="77"/>
      <c r="P36" s="78"/>
      <c r="Q36" s="78"/>
      <c r="R36" s="90"/>
      <c r="S36" s="49">
        <v>0</v>
      </c>
      <c r="T36" s="49">
        <v>1</v>
      </c>
      <c r="U36" s="50">
        <v>0</v>
      </c>
      <c r="V36" s="50">
        <v>0.228681</v>
      </c>
      <c r="W36" s="51"/>
      <c r="X36" s="51"/>
      <c r="Y36" s="51"/>
      <c r="Z36" s="50"/>
      <c r="AA36" s="73">
        <v>36</v>
      </c>
      <c r="AB36" s="73"/>
      <c r="AC36" s="74"/>
      <c r="AD36" s="81" t="s">
        <v>2442</v>
      </c>
      <c r="AE36" s="81"/>
      <c r="AF36" s="81"/>
      <c r="AG36" s="81"/>
      <c r="AH36" s="81"/>
      <c r="AI36" s="81" t="s">
        <v>3231</v>
      </c>
      <c r="AJ36" s="88">
        <v>39673.44949074074</v>
      </c>
      <c r="AK36" s="86" t="str">
        <f>HYPERLINK("https://yt3.ggpht.com/ytc/AIf8zZRS1XMk990lZawFhqK8dHksTEayvdrrnnz2egVe2g=s88-c-k-c0x00ffffff-no-rj")</f>
        <v>https://yt3.ggpht.com/ytc/AIf8zZRS1XMk990lZawFhqK8dHksTEayvdrrnnz2egVe2g=s88-c-k-c0x00ffffff-no-rj</v>
      </c>
      <c r="AL36" s="81">
        <v>21429</v>
      </c>
      <c r="AM36" s="81">
        <v>0</v>
      </c>
      <c r="AN36" s="81">
        <v>41</v>
      </c>
      <c r="AO36" s="81" t="b">
        <v>0</v>
      </c>
      <c r="AP36" s="81">
        <v>7</v>
      </c>
      <c r="AQ36" s="81"/>
      <c r="AR36" s="81"/>
      <c r="AS36" s="81" t="s">
        <v>3378</v>
      </c>
      <c r="AT36" s="86" t="str">
        <f>HYPERLINK("https://www.youtube.com/channel/UCwnwSYoa9mjqUeDODn4HGGQ")</f>
        <v>https://www.youtube.com/channel/UCwnwSYoa9mjqUeDODn4HGGQ</v>
      </c>
      <c r="AU36" s="81" t="str">
        <f>REPLACE(INDEX(GroupVertices[Group],MATCH("~"&amp;Vertices[[#This Row],[Vertex]],GroupVertices[Vertex],0)),1,1,"")</f>
        <v>7</v>
      </c>
      <c r="AV36" s="49"/>
      <c r="AW36" s="49"/>
      <c r="AX36" s="49"/>
      <c r="AY36" s="49"/>
      <c r="AZ36" s="49"/>
      <c r="BA36" s="49"/>
      <c r="BB36" s="117" t="s">
        <v>3690</v>
      </c>
      <c r="BC36" s="117" t="s">
        <v>3690</v>
      </c>
      <c r="BD36" s="117" t="s">
        <v>4394</v>
      </c>
      <c r="BE36" s="117" t="s">
        <v>4394</v>
      </c>
      <c r="BF36" s="2"/>
      <c r="BG36" s="3"/>
      <c r="BH36" s="3"/>
      <c r="BI36" s="3"/>
      <c r="BJ36" s="3"/>
    </row>
    <row r="37" spans="1:62" ht="15">
      <c r="A37" s="66" t="s">
        <v>216</v>
      </c>
      <c r="B37" s="67"/>
      <c r="C37" s="67"/>
      <c r="D37" s="68">
        <v>50</v>
      </c>
      <c r="E37" s="70"/>
      <c r="F37" s="105" t="str">
        <f>HYPERLINK("https://yt3.ggpht.com/ytc/AIf8zZTBAJBVPcoZyuAAHhurbvLNVTO5-T8jcNmfgrriqieLkBYtAAeSJMh7hCKy-a1X=s88-c-k-c0x00ffffff-no-rj")</f>
        <v>https://yt3.ggpht.com/ytc/AIf8zZTBAJBVPcoZyuAAHhurbvLNVTO5-T8jcNmfgrriqieLkBYtAAeSJMh7hCKy-a1X=s88-c-k-c0x00ffffff-no-rj</v>
      </c>
      <c r="G37" s="67"/>
      <c r="H37" s="71" t="s">
        <v>2443</v>
      </c>
      <c r="I37" s="72"/>
      <c r="J37" s="72" t="s">
        <v>159</v>
      </c>
      <c r="K37" s="71" t="s">
        <v>2443</v>
      </c>
      <c r="L37" s="75">
        <v>1</v>
      </c>
      <c r="M37" s="76">
        <v>8488.2177734375</v>
      </c>
      <c r="N37" s="76">
        <v>1684.9339599609375</v>
      </c>
      <c r="O37" s="77"/>
      <c r="P37" s="78"/>
      <c r="Q37" s="78"/>
      <c r="R37" s="90"/>
      <c r="S37" s="49">
        <v>0</v>
      </c>
      <c r="T37" s="49">
        <v>1</v>
      </c>
      <c r="U37" s="50">
        <v>0</v>
      </c>
      <c r="V37" s="50">
        <v>0.228681</v>
      </c>
      <c r="W37" s="51"/>
      <c r="X37" s="51"/>
      <c r="Y37" s="51"/>
      <c r="Z37" s="50"/>
      <c r="AA37" s="73">
        <v>37</v>
      </c>
      <c r="AB37" s="73"/>
      <c r="AC37" s="74"/>
      <c r="AD37" s="81" t="s">
        <v>2443</v>
      </c>
      <c r="AE37" s="81"/>
      <c r="AF37" s="81"/>
      <c r="AG37" s="81"/>
      <c r="AH37" s="81"/>
      <c r="AI37" s="81" t="s">
        <v>1682</v>
      </c>
      <c r="AJ37" s="88">
        <v>44731.34539351852</v>
      </c>
      <c r="AK37" s="86" t="str">
        <f>HYPERLINK("https://yt3.ggpht.com/ytc/AIf8zZTBAJBVPcoZyuAAHhurbvLNVTO5-T8jcNmfgrriqieLkBYtAAeSJMh7hCKy-a1X=s88-c-k-c0x00ffffff-no-rj")</f>
        <v>https://yt3.ggpht.com/ytc/AIf8zZTBAJBVPcoZyuAAHhurbvLNVTO5-T8jcNmfgrriqieLkBYtAAeSJMh7hCKy-a1X=s88-c-k-c0x00ffffff-no-rj</v>
      </c>
      <c r="AL37" s="81">
        <v>0</v>
      </c>
      <c r="AM37" s="81">
        <v>0</v>
      </c>
      <c r="AN37" s="81">
        <v>0</v>
      </c>
      <c r="AO37" s="81" t="b">
        <v>0</v>
      </c>
      <c r="AP37" s="81">
        <v>0</v>
      </c>
      <c r="AQ37" s="81"/>
      <c r="AR37" s="81"/>
      <c r="AS37" s="81" t="s">
        <v>3378</v>
      </c>
      <c r="AT37" s="86" t="str">
        <f>HYPERLINK("https://www.youtube.com/channel/UCwFf6aCkeYUqOVUTLro1q4w")</f>
        <v>https://www.youtube.com/channel/UCwFf6aCkeYUqOVUTLro1q4w</v>
      </c>
      <c r="AU37" s="81" t="str">
        <f>REPLACE(INDEX(GroupVertices[Group],MATCH("~"&amp;Vertices[[#This Row],[Vertex]],GroupVertices[Vertex],0)),1,1,"")</f>
        <v>7</v>
      </c>
      <c r="AV37" s="49"/>
      <c r="AW37" s="49"/>
      <c r="AX37" s="49"/>
      <c r="AY37" s="49"/>
      <c r="AZ37" s="49"/>
      <c r="BA37" s="49"/>
      <c r="BB37" s="117" t="s">
        <v>3691</v>
      </c>
      <c r="BC37" s="117" t="s">
        <v>3691</v>
      </c>
      <c r="BD37" s="117" t="s">
        <v>4395</v>
      </c>
      <c r="BE37" s="117" t="s">
        <v>4395</v>
      </c>
      <c r="BF37" s="2"/>
      <c r="BG37" s="3"/>
      <c r="BH37" s="3"/>
      <c r="BI37" s="3"/>
      <c r="BJ37" s="3"/>
    </row>
    <row r="38" spans="1:62" ht="15">
      <c r="A38" s="66" t="s">
        <v>217</v>
      </c>
      <c r="B38" s="67"/>
      <c r="C38" s="67"/>
      <c r="D38" s="68">
        <v>50</v>
      </c>
      <c r="E38" s="70"/>
      <c r="F38" s="105" t="str">
        <f>HYPERLINK("https://yt3.ggpht.com/ytc/AIf8zZSARbaEFoKb7b84jQTuIy8S4GjcZEod6JgnWyansucNqWVDow_jXVMu4oZsymb5=s88-c-k-c0x00ffffff-no-rj")</f>
        <v>https://yt3.ggpht.com/ytc/AIf8zZSARbaEFoKb7b84jQTuIy8S4GjcZEod6JgnWyansucNqWVDow_jXVMu4oZsymb5=s88-c-k-c0x00ffffff-no-rj</v>
      </c>
      <c r="G38" s="67"/>
      <c r="H38" s="71" t="s">
        <v>2444</v>
      </c>
      <c r="I38" s="72"/>
      <c r="J38" s="72" t="s">
        <v>159</v>
      </c>
      <c r="K38" s="71" t="s">
        <v>2444</v>
      </c>
      <c r="L38" s="75">
        <v>1</v>
      </c>
      <c r="M38" s="76">
        <v>8606.076171875</v>
      </c>
      <c r="N38" s="76">
        <v>4287.310546875</v>
      </c>
      <c r="O38" s="77"/>
      <c r="P38" s="78"/>
      <c r="Q38" s="78"/>
      <c r="R38" s="90"/>
      <c r="S38" s="49">
        <v>0</v>
      </c>
      <c r="T38" s="49">
        <v>1</v>
      </c>
      <c r="U38" s="50">
        <v>0</v>
      </c>
      <c r="V38" s="50">
        <v>0.228681</v>
      </c>
      <c r="W38" s="51"/>
      <c r="X38" s="51"/>
      <c r="Y38" s="51"/>
      <c r="Z38" s="50"/>
      <c r="AA38" s="73">
        <v>38</v>
      </c>
      <c r="AB38" s="73"/>
      <c r="AC38" s="74"/>
      <c r="AD38" s="81" t="s">
        <v>2444</v>
      </c>
      <c r="AE38" s="81"/>
      <c r="AF38" s="81"/>
      <c r="AG38" s="81"/>
      <c r="AH38" s="81"/>
      <c r="AI38" s="81" t="s">
        <v>1683</v>
      </c>
      <c r="AJ38" s="88">
        <v>44883.68599537037</v>
      </c>
      <c r="AK38" s="86" t="str">
        <f>HYPERLINK("https://yt3.ggpht.com/ytc/AIf8zZSARbaEFoKb7b84jQTuIy8S4GjcZEod6JgnWyansucNqWVDow_jXVMu4oZsymb5=s88-c-k-c0x00ffffff-no-rj")</f>
        <v>https://yt3.ggpht.com/ytc/AIf8zZSARbaEFoKb7b84jQTuIy8S4GjcZEod6JgnWyansucNqWVDow_jXVMu4oZsymb5=s88-c-k-c0x00ffffff-no-rj</v>
      </c>
      <c r="AL38" s="81">
        <v>0</v>
      </c>
      <c r="AM38" s="81">
        <v>0</v>
      </c>
      <c r="AN38" s="81">
        <v>0</v>
      </c>
      <c r="AO38" s="81" t="b">
        <v>0</v>
      </c>
      <c r="AP38" s="81">
        <v>0</v>
      </c>
      <c r="AQ38" s="81"/>
      <c r="AR38" s="81"/>
      <c r="AS38" s="81" t="s">
        <v>3378</v>
      </c>
      <c r="AT38" s="86" t="str">
        <f>HYPERLINK("https://www.youtube.com/channel/UCQctaGwmpjuRTRxg25XbFqw")</f>
        <v>https://www.youtube.com/channel/UCQctaGwmpjuRTRxg25XbFqw</v>
      </c>
      <c r="AU38" s="81" t="str">
        <f>REPLACE(INDEX(GroupVertices[Group],MATCH("~"&amp;Vertices[[#This Row],[Vertex]],GroupVertices[Vertex],0)),1,1,"")</f>
        <v>7</v>
      </c>
      <c r="AV38" s="49"/>
      <c r="AW38" s="49"/>
      <c r="AX38" s="49"/>
      <c r="AY38" s="49"/>
      <c r="AZ38" s="49"/>
      <c r="BA38" s="49"/>
      <c r="BB38" s="117" t="s">
        <v>3692</v>
      </c>
      <c r="BC38" s="117" t="s">
        <v>3692</v>
      </c>
      <c r="BD38" s="117" t="s">
        <v>4396</v>
      </c>
      <c r="BE38" s="117" t="s">
        <v>4396</v>
      </c>
      <c r="BF38" s="2"/>
      <c r="BG38" s="3"/>
      <c r="BH38" s="3"/>
      <c r="BI38" s="3"/>
      <c r="BJ38" s="3"/>
    </row>
    <row r="39" spans="1:62" ht="15">
      <c r="A39" s="66" t="s">
        <v>218</v>
      </c>
      <c r="B39" s="67"/>
      <c r="C39" s="67"/>
      <c r="D39" s="68">
        <v>50</v>
      </c>
      <c r="E39" s="70"/>
      <c r="F39" s="105" t="str">
        <f>HYPERLINK("https://yt3.ggpht.com/ytc/AIf8zZRIAoCNnGNPJCcD-6qdi5YRXttHjGsNVNLVlS_R5w=s88-c-k-c0x00ffffff-no-rj")</f>
        <v>https://yt3.ggpht.com/ytc/AIf8zZRIAoCNnGNPJCcD-6qdi5YRXttHjGsNVNLVlS_R5w=s88-c-k-c0x00ffffff-no-rj</v>
      </c>
      <c r="G39" s="67"/>
      <c r="H39" s="71" t="s">
        <v>2445</v>
      </c>
      <c r="I39" s="72"/>
      <c r="J39" s="72" t="s">
        <v>159</v>
      </c>
      <c r="K39" s="71" t="s">
        <v>2445</v>
      </c>
      <c r="L39" s="75">
        <v>1</v>
      </c>
      <c r="M39" s="76">
        <v>8380.6943359375</v>
      </c>
      <c r="N39" s="76">
        <v>3465.603515625</v>
      </c>
      <c r="O39" s="77"/>
      <c r="P39" s="78"/>
      <c r="Q39" s="78"/>
      <c r="R39" s="90"/>
      <c r="S39" s="49">
        <v>0</v>
      </c>
      <c r="T39" s="49">
        <v>1</v>
      </c>
      <c r="U39" s="50">
        <v>0</v>
      </c>
      <c r="V39" s="50">
        <v>0.228681</v>
      </c>
      <c r="W39" s="51"/>
      <c r="X39" s="51"/>
      <c r="Y39" s="51"/>
      <c r="Z39" s="50"/>
      <c r="AA39" s="73">
        <v>39</v>
      </c>
      <c r="AB39" s="73"/>
      <c r="AC39" s="74"/>
      <c r="AD39" s="81" t="s">
        <v>2445</v>
      </c>
      <c r="AE39" s="81"/>
      <c r="AF39" s="81"/>
      <c r="AG39" s="81"/>
      <c r="AH39" s="81"/>
      <c r="AI39" s="81" t="s">
        <v>1684</v>
      </c>
      <c r="AJ39" s="88">
        <v>40808.3037962963</v>
      </c>
      <c r="AK39" s="86" t="str">
        <f>HYPERLINK("https://yt3.ggpht.com/ytc/AIf8zZRIAoCNnGNPJCcD-6qdi5YRXttHjGsNVNLVlS_R5w=s88-c-k-c0x00ffffff-no-rj")</f>
        <v>https://yt3.ggpht.com/ytc/AIf8zZRIAoCNnGNPJCcD-6qdi5YRXttHjGsNVNLVlS_R5w=s88-c-k-c0x00ffffff-no-rj</v>
      </c>
      <c r="AL39" s="81">
        <v>425</v>
      </c>
      <c r="AM39" s="81">
        <v>0</v>
      </c>
      <c r="AN39" s="81">
        <v>7</v>
      </c>
      <c r="AO39" s="81" t="b">
        <v>0</v>
      </c>
      <c r="AP39" s="81">
        <v>4</v>
      </c>
      <c r="AQ39" s="81"/>
      <c r="AR39" s="81"/>
      <c r="AS39" s="81" t="s">
        <v>3378</v>
      </c>
      <c r="AT39" s="86" t="str">
        <f>HYPERLINK("https://www.youtube.com/channel/UCWtXNusqftQxTfVCZJzrnvQ")</f>
        <v>https://www.youtube.com/channel/UCWtXNusqftQxTfVCZJzrnvQ</v>
      </c>
      <c r="AU39" s="81" t="str">
        <f>REPLACE(INDEX(GroupVertices[Group],MATCH("~"&amp;Vertices[[#This Row],[Vertex]],GroupVertices[Vertex],0)),1,1,"")</f>
        <v>7</v>
      </c>
      <c r="AV39" s="49"/>
      <c r="AW39" s="49"/>
      <c r="AX39" s="49"/>
      <c r="AY39" s="49"/>
      <c r="AZ39" s="49"/>
      <c r="BA39" s="49"/>
      <c r="BB39" s="117" t="s">
        <v>3693</v>
      </c>
      <c r="BC39" s="117" t="s">
        <v>3693</v>
      </c>
      <c r="BD39" s="117" t="s">
        <v>4397</v>
      </c>
      <c r="BE39" s="117" t="s">
        <v>4397</v>
      </c>
      <c r="BF39" s="2"/>
      <c r="BG39" s="3"/>
      <c r="BH39" s="3"/>
      <c r="BI39" s="3"/>
      <c r="BJ39" s="3"/>
    </row>
    <row r="40" spans="1:62" ht="15">
      <c r="A40" s="66" t="s">
        <v>219</v>
      </c>
      <c r="B40" s="67"/>
      <c r="C40" s="67"/>
      <c r="D40" s="68">
        <v>50</v>
      </c>
      <c r="E40" s="70"/>
      <c r="F40" s="105" t="str">
        <f>HYPERLINK("https://yt3.ggpht.com/ytc/AIf8zZR1-7V5CLC3vaLYFw5jN9CKzqRGXlSvHLx_Xw=s88-c-k-c0x00ffffff-no-rj")</f>
        <v>https://yt3.ggpht.com/ytc/AIf8zZR1-7V5CLC3vaLYFw5jN9CKzqRGXlSvHLx_Xw=s88-c-k-c0x00ffffff-no-rj</v>
      </c>
      <c r="G40" s="67"/>
      <c r="H40" s="71" t="s">
        <v>2446</v>
      </c>
      <c r="I40" s="72"/>
      <c r="J40" s="72" t="s">
        <v>159</v>
      </c>
      <c r="K40" s="71" t="s">
        <v>2446</v>
      </c>
      <c r="L40" s="75">
        <v>1</v>
      </c>
      <c r="M40" s="76">
        <v>8514.7783203125</v>
      </c>
      <c r="N40" s="76">
        <v>4736.6748046875</v>
      </c>
      <c r="O40" s="77"/>
      <c r="P40" s="78"/>
      <c r="Q40" s="78"/>
      <c r="R40" s="90"/>
      <c r="S40" s="49">
        <v>0</v>
      </c>
      <c r="T40" s="49">
        <v>1</v>
      </c>
      <c r="U40" s="50">
        <v>0</v>
      </c>
      <c r="V40" s="50">
        <v>0.228681</v>
      </c>
      <c r="W40" s="51"/>
      <c r="X40" s="51"/>
      <c r="Y40" s="51"/>
      <c r="Z40" s="50"/>
      <c r="AA40" s="73">
        <v>40</v>
      </c>
      <c r="AB40" s="73"/>
      <c r="AC40" s="74"/>
      <c r="AD40" s="81" t="s">
        <v>2446</v>
      </c>
      <c r="AE40" s="81"/>
      <c r="AF40" s="81"/>
      <c r="AG40" s="81"/>
      <c r="AH40" s="81"/>
      <c r="AI40" s="81" t="s">
        <v>1685</v>
      </c>
      <c r="AJ40" s="88">
        <v>42145.352326388886</v>
      </c>
      <c r="AK40" s="86" t="str">
        <f>HYPERLINK("https://yt3.ggpht.com/ytc/AIf8zZR1-7V5CLC3vaLYFw5jN9CKzqRGXlSvHLx_Xw=s88-c-k-c0x00ffffff-no-rj")</f>
        <v>https://yt3.ggpht.com/ytc/AIf8zZR1-7V5CLC3vaLYFw5jN9CKzqRGXlSvHLx_Xw=s88-c-k-c0x00ffffff-no-rj</v>
      </c>
      <c r="AL40" s="81">
        <v>0</v>
      </c>
      <c r="AM40" s="81">
        <v>0</v>
      </c>
      <c r="AN40" s="81">
        <v>1</v>
      </c>
      <c r="AO40" s="81" t="b">
        <v>0</v>
      </c>
      <c r="AP40" s="81">
        <v>0</v>
      </c>
      <c r="AQ40" s="81"/>
      <c r="AR40" s="81"/>
      <c r="AS40" s="81" t="s">
        <v>3378</v>
      </c>
      <c r="AT40" s="86" t="str">
        <f>HYPERLINK("https://www.youtube.com/channel/UCCHJwPgdvjFI99R2XgCjjkg")</f>
        <v>https://www.youtube.com/channel/UCCHJwPgdvjFI99R2XgCjjkg</v>
      </c>
      <c r="AU40" s="81" t="str">
        <f>REPLACE(INDEX(GroupVertices[Group],MATCH("~"&amp;Vertices[[#This Row],[Vertex]],GroupVertices[Vertex],0)),1,1,"")</f>
        <v>7</v>
      </c>
      <c r="AV40" s="49"/>
      <c r="AW40" s="49"/>
      <c r="AX40" s="49"/>
      <c r="AY40" s="49"/>
      <c r="AZ40" s="49"/>
      <c r="BA40" s="49"/>
      <c r="BB40" s="117" t="s">
        <v>3694</v>
      </c>
      <c r="BC40" s="117" t="s">
        <v>3694</v>
      </c>
      <c r="BD40" s="117" t="s">
        <v>4398</v>
      </c>
      <c r="BE40" s="117" t="s">
        <v>4398</v>
      </c>
      <c r="BF40" s="2"/>
      <c r="BG40" s="3"/>
      <c r="BH40" s="3"/>
      <c r="BI40" s="3"/>
      <c r="BJ40" s="3"/>
    </row>
    <row r="41" spans="1:62" ht="15">
      <c r="A41" s="66" t="s">
        <v>220</v>
      </c>
      <c r="B41" s="67"/>
      <c r="C41" s="67"/>
      <c r="D41" s="68">
        <v>50</v>
      </c>
      <c r="E41" s="70"/>
      <c r="F41" s="105" t="str">
        <f>HYPERLINK("https://yt3.ggpht.com/ytc/AIf8zZQCvrr8DfL76GhR-mgK0wruAjK0vV0mw-v3Rg=s88-c-k-c0x00ffffff-no-rj")</f>
        <v>https://yt3.ggpht.com/ytc/AIf8zZQCvrr8DfL76GhR-mgK0wruAjK0vV0mw-v3Rg=s88-c-k-c0x00ffffff-no-rj</v>
      </c>
      <c r="G41" s="67"/>
      <c r="H41" s="71" t="s">
        <v>2447</v>
      </c>
      <c r="I41" s="72"/>
      <c r="J41" s="72" t="s">
        <v>159</v>
      </c>
      <c r="K41" s="71" t="s">
        <v>2447</v>
      </c>
      <c r="L41" s="75">
        <v>1</v>
      </c>
      <c r="M41" s="76">
        <v>9874.271484375</v>
      </c>
      <c r="N41" s="76">
        <v>2721.600341796875</v>
      </c>
      <c r="O41" s="77"/>
      <c r="P41" s="78"/>
      <c r="Q41" s="78"/>
      <c r="R41" s="90"/>
      <c r="S41" s="49">
        <v>0</v>
      </c>
      <c r="T41" s="49">
        <v>1</v>
      </c>
      <c r="U41" s="50">
        <v>0</v>
      </c>
      <c r="V41" s="50">
        <v>0.228681</v>
      </c>
      <c r="W41" s="51"/>
      <c r="X41" s="51"/>
      <c r="Y41" s="51"/>
      <c r="Z41" s="50"/>
      <c r="AA41" s="73">
        <v>41</v>
      </c>
      <c r="AB41" s="73"/>
      <c r="AC41" s="74"/>
      <c r="AD41" s="81" t="s">
        <v>2447</v>
      </c>
      <c r="AE41" s="81"/>
      <c r="AF41" s="81"/>
      <c r="AG41" s="81"/>
      <c r="AH41" s="81"/>
      <c r="AI41" s="81" t="s">
        <v>1686</v>
      </c>
      <c r="AJ41" s="88">
        <v>44294.88921296296</v>
      </c>
      <c r="AK41" s="86" t="str">
        <f>HYPERLINK("https://yt3.ggpht.com/ytc/AIf8zZQCvrr8DfL76GhR-mgK0wruAjK0vV0mw-v3Rg=s88-c-k-c0x00ffffff-no-rj")</f>
        <v>https://yt3.ggpht.com/ytc/AIf8zZQCvrr8DfL76GhR-mgK0wruAjK0vV0mw-v3Rg=s88-c-k-c0x00ffffff-no-rj</v>
      </c>
      <c r="AL41" s="81">
        <v>0</v>
      </c>
      <c r="AM41" s="81">
        <v>0</v>
      </c>
      <c r="AN41" s="81">
        <v>0</v>
      </c>
      <c r="AO41" s="81" t="b">
        <v>0</v>
      </c>
      <c r="AP41" s="81">
        <v>0</v>
      </c>
      <c r="AQ41" s="81"/>
      <c r="AR41" s="81"/>
      <c r="AS41" s="81" t="s">
        <v>3378</v>
      </c>
      <c r="AT41" s="86" t="str">
        <f>HYPERLINK("https://www.youtube.com/channel/UCo3rhT0Yf7mVKzS_Nu1AYDw")</f>
        <v>https://www.youtube.com/channel/UCo3rhT0Yf7mVKzS_Nu1AYDw</v>
      </c>
      <c r="AU41" s="81" t="str">
        <f>REPLACE(INDEX(GroupVertices[Group],MATCH("~"&amp;Vertices[[#This Row],[Vertex]],GroupVertices[Vertex],0)),1,1,"")</f>
        <v>7</v>
      </c>
      <c r="AV41" s="49"/>
      <c r="AW41" s="49"/>
      <c r="AX41" s="49"/>
      <c r="AY41" s="49"/>
      <c r="AZ41" s="49"/>
      <c r="BA41" s="49"/>
      <c r="BB41" s="117" t="s">
        <v>3695</v>
      </c>
      <c r="BC41" s="117" t="s">
        <v>3695</v>
      </c>
      <c r="BD41" s="117" t="s">
        <v>4399</v>
      </c>
      <c r="BE41" s="117" t="s">
        <v>4399</v>
      </c>
      <c r="BF41" s="2"/>
      <c r="BG41" s="3"/>
      <c r="BH41" s="3"/>
      <c r="BI41" s="3"/>
      <c r="BJ41" s="3"/>
    </row>
    <row r="42" spans="1:62" ht="15">
      <c r="A42" s="66" t="s">
        <v>221</v>
      </c>
      <c r="B42" s="67"/>
      <c r="C42" s="67"/>
      <c r="D42" s="68">
        <v>50</v>
      </c>
      <c r="E42" s="70"/>
      <c r="F42" s="105" t="str">
        <f>HYPERLINK("https://yt3.ggpht.com/ytc/AIf8zZS__OcNld4kFT3c_Fl0_JAPGs_hkyfO5ONMdA=s88-c-k-c0x00ffffff-no-rj")</f>
        <v>https://yt3.ggpht.com/ytc/AIf8zZS__OcNld4kFT3c_Fl0_JAPGs_hkyfO5ONMdA=s88-c-k-c0x00ffffff-no-rj</v>
      </c>
      <c r="G42" s="67"/>
      <c r="H42" s="71" t="s">
        <v>2448</v>
      </c>
      <c r="I42" s="72"/>
      <c r="J42" s="72" t="s">
        <v>159</v>
      </c>
      <c r="K42" s="71" t="s">
        <v>2448</v>
      </c>
      <c r="L42" s="75">
        <v>1</v>
      </c>
      <c r="M42" s="76">
        <v>9584.51953125</v>
      </c>
      <c r="N42" s="76">
        <v>4362.09521484375</v>
      </c>
      <c r="O42" s="77"/>
      <c r="P42" s="78"/>
      <c r="Q42" s="78"/>
      <c r="R42" s="90"/>
      <c r="S42" s="49">
        <v>0</v>
      </c>
      <c r="T42" s="49">
        <v>1</v>
      </c>
      <c r="U42" s="50">
        <v>0</v>
      </c>
      <c r="V42" s="50">
        <v>0.228681</v>
      </c>
      <c r="W42" s="51"/>
      <c r="X42" s="51"/>
      <c r="Y42" s="51"/>
      <c r="Z42" s="50"/>
      <c r="AA42" s="73">
        <v>42</v>
      </c>
      <c r="AB42" s="73"/>
      <c r="AC42" s="74"/>
      <c r="AD42" s="81" t="s">
        <v>2448</v>
      </c>
      <c r="AE42" s="81"/>
      <c r="AF42" s="81"/>
      <c r="AG42" s="81"/>
      <c r="AH42" s="81"/>
      <c r="AI42" s="81" t="s">
        <v>1687</v>
      </c>
      <c r="AJ42" s="88">
        <v>43302.413194444445</v>
      </c>
      <c r="AK42" s="86" t="str">
        <f>HYPERLINK("https://yt3.ggpht.com/ytc/AIf8zZS__OcNld4kFT3c_Fl0_JAPGs_hkyfO5ONMdA=s88-c-k-c0x00ffffff-no-rj")</f>
        <v>https://yt3.ggpht.com/ytc/AIf8zZS__OcNld4kFT3c_Fl0_JAPGs_hkyfO5ONMdA=s88-c-k-c0x00ffffff-no-rj</v>
      </c>
      <c r="AL42" s="81">
        <v>0</v>
      </c>
      <c r="AM42" s="81">
        <v>0</v>
      </c>
      <c r="AN42" s="81">
        <v>3</v>
      </c>
      <c r="AO42" s="81" t="b">
        <v>0</v>
      </c>
      <c r="AP42" s="81">
        <v>0</v>
      </c>
      <c r="AQ42" s="81"/>
      <c r="AR42" s="81"/>
      <c r="AS42" s="81" t="s">
        <v>3378</v>
      </c>
      <c r="AT42" s="86" t="str">
        <f>HYPERLINK("https://www.youtube.com/channel/UC02YloMhXdpTsLbE6VkR03g")</f>
        <v>https://www.youtube.com/channel/UC02YloMhXdpTsLbE6VkR03g</v>
      </c>
      <c r="AU42" s="81" t="str">
        <f>REPLACE(INDEX(GroupVertices[Group],MATCH("~"&amp;Vertices[[#This Row],[Vertex]],GroupVertices[Vertex],0)),1,1,"")</f>
        <v>7</v>
      </c>
      <c r="AV42" s="49"/>
      <c r="AW42" s="49"/>
      <c r="AX42" s="49"/>
      <c r="AY42" s="49"/>
      <c r="AZ42" s="49"/>
      <c r="BA42" s="49"/>
      <c r="BB42" s="117" t="s">
        <v>3696</v>
      </c>
      <c r="BC42" s="117" t="s">
        <v>3696</v>
      </c>
      <c r="BD42" s="117" t="s">
        <v>4400</v>
      </c>
      <c r="BE42" s="117" t="s">
        <v>4400</v>
      </c>
      <c r="BF42" s="2"/>
      <c r="BG42" s="3"/>
      <c r="BH42" s="3"/>
      <c r="BI42" s="3"/>
      <c r="BJ42" s="3"/>
    </row>
    <row r="43" spans="1:62" ht="15">
      <c r="A43" s="66" t="s">
        <v>222</v>
      </c>
      <c r="B43" s="67"/>
      <c r="C43" s="67"/>
      <c r="D43" s="68">
        <v>50</v>
      </c>
      <c r="E43" s="70"/>
      <c r="F43" s="105" t="str">
        <f>HYPERLINK("https://yt3.ggpht.com/ytc/AIf8zZTKx94o-5r9qX3EnA2s8_qEn-KmmVqAC0NEY4Kj=s88-c-k-c0x00ffffff-no-rj")</f>
        <v>https://yt3.ggpht.com/ytc/AIf8zZTKx94o-5r9qX3EnA2s8_qEn-KmmVqAC0NEY4Kj=s88-c-k-c0x00ffffff-no-rj</v>
      </c>
      <c r="G43" s="67"/>
      <c r="H43" s="71" t="s">
        <v>2449</v>
      </c>
      <c r="I43" s="72"/>
      <c r="J43" s="72" t="s">
        <v>159</v>
      </c>
      <c r="K43" s="71" t="s">
        <v>2449</v>
      </c>
      <c r="L43" s="75">
        <v>1</v>
      </c>
      <c r="M43" s="76">
        <v>9247.65234375</v>
      </c>
      <c r="N43" s="76">
        <v>1476.59423828125</v>
      </c>
      <c r="O43" s="77"/>
      <c r="P43" s="78"/>
      <c r="Q43" s="78"/>
      <c r="R43" s="90"/>
      <c r="S43" s="49">
        <v>0</v>
      </c>
      <c r="T43" s="49">
        <v>1</v>
      </c>
      <c r="U43" s="50">
        <v>0</v>
      </c>
      <c r="V43" s="50">
        <v>0.228681</v>
      </c>
      <c r="W43" s="51"/>
      <c r="X43" s="51"/>
      <c r="Y43" s="51"/>
      <c r="Z43" s="50"/>
      <c r="AA43" s="73">
        <v>43</v>
      </c>
      <c r="AB43" s="73"/>
      <c r="AC43" s="74"/>
      <c r="AD43" s="81" t="s">
        <v>2449</v>
      </c>
      <c r="AE43" s="81"/>
      <c r="AF43" s="81"/>
      <c r="AG43" s="81"/>
      <c r="AH43" s="81"/>
      <c r="AI43" s="81" t="s">
        <v>1688</v>
      </c>
      <c r="AJ43" s="88">
        <v>41106.164988425924</v>
      </c>
      <c r="AK43" s="86" t="str">
        <f>HYPERLINK("https://yt3.ggpht.com/ytc/AIf8zZTKx94o-5r9qX3EnA2s8_qEn-KmmVqAC0NEY4Kj=s88-c-k-c0x00ffffff-no-rj")</f>
        <v>https://yt3.ggpht.com/ytc/AIf8zZTKx94o-5r9qX3EnA2s8_qEn-KmmVqAC0NEY4Kj=s88-c-k-c0x00ffffff-no-rj</v>
      </c>
      <c r="AL43" s="81">
        <v>0</v>
      </c>
      <c r="AM43" s="81">
        <v>0</v>
      </c>
      <c r="AN43" s="81">
        <v>0</v>
      </c>
      <c r="AO43" s="81" t="b">
        <v>0</v>
      </c>
      <c r="AP43" s="81">
        <v>0</v>
      </c>
      <c r="AQ43" s="81"/>
      <c r="AR43" s="81"/>
      <c r="AS43" s="81" t="s">
        <v>3378</v>
      </c>
      <c r="AT43" s="86" t="str">
        <f>HYPERLINK("https://www.youtube.com/channel/UCs0oKb6jfcvqSGd-Je8auEA")</f>
        <v>https://www.youtube.com/channel/UCs0oKb6jfcvqSGd-Je8auEA</v>
      </c>
      <c r="AU43" s="81" t="str">
        <f>REPLACE(INDEX(GroupVertices[Group],MATCH("~"&amp;Vertices[[#This Row],[Vertex]],GroupVertices[Vertex],0)),1,1,"")</f>
        <v>7</v>
      </c>
      <c r="AV43" s="49"/>
      <c r="AW43" s="49"/>
      <c r="AX43" s="49"/>
      <c r="AY43" s="49"/>
      <c r="AZ43" s="49"/>
      <c r="BA43" s="49"/>
      <c r="BB43" s="117" t="s">
        <v>3697</v>
      </c>
      <c r="BC43" s="117" t="s">
        <v>3697</v>
      </c>
      <c r="BD43" s="117" t="s">
        <v>4401</v>
      </c>
      <c r="BE43" s="117" t="s">
        <v>4401</v>
      </c>
      <c r="BF43" s="2"/>
      <c r="BG43" s="3"/>
      <c r="BH43" s="3"/>
      <c r="BI43" s="3"/>
      <c r="BJ43" s="3"/>
    </row>
    <row r="44" spans="1:62" ht="15">
      <c r="A44" s="66" t="s">
        <v>223</v>
      </c>
      <c r="B44" s="67"/>
      <c r="C44" s="67"/>
      <c r="D44" s="68">
        <v>50</v>
      </c>
      <c r="E44" s="70"/>
      <c r="F44" s="105" t="str">
        <f>HYPERLINK("https://yt3.ggpht.com/ytc/AIf8zZQjLwYXFcZtNL7WzRcwjnk2kbkPZgj4ntuBbg=s88-c-k-c0x00ffffff-no-rj")</f>
        <v>https://yt3.ggpht.com/ytc/AIf8zZQjLwYXFcZtNL7WzRcwjnk2kbkPZgj4ntuBbg=s88-c-k-c0x00ffffff-no-rj</v>
      </c>
      <c r="G44" s="67"/>
      <c r="H44" s="71" t="s">
        <v>2450</v>
      </c>
      <c r="I44" s="72"/>
      <c r="J44" s="72" t="s">
        <v>159</v>
      </c>
      <c r="K44" s="71" t="s">
        <v>2450</v>
      </c>
      <c r="L44" s="75">
        <v>1</v>
      </c>
      <c r="M44" s="76">
        <v>8627.6904296875</v>
      </c>
      <c r="N44" s="76">
        <v>2239.68896484375</v>
      </c>
      <c r="O44" s="77"/>
      <c r="P44" s="78"/>
      <c r="Q44" s="78"/>
      <c r="R44" s="90"/>
      <c r="S44" s="49">
        <v>0</v>
      </c>
      <c r="T44" s="49">
        <v>1</v>
      </c>
      <c r="U44" s="50">
        <v>0</v>
      </c>
      <c r="V44" s="50">
        <v>0.228681</v>
      </c>
      <c r="W44" s="51"/>
      <c r="X44" s="51"/>
      <c r="Y44" s="51"/>
      <c r="Z44" s="50"/>
      <c r="AA44" s="73">
        <v>44</v>
      </c>
      <c r="AB44" s="73"/>
      <c r="AC44" s="74"/>
      <c r="AD44" s="81" t="s">
        <v>2450</v>
      </c>
      <c r="AE44" s="81"/>
      <c r="AF44" s="81"/>
      <c r="AG44" s="81"/>
      <c r="AH44" s="81"/>
      <c r="AI44" s="81" t="s">
        <v>1689</v>
      </c>
      <c r="AJ44" s="88">
        <v>43999.535162037035</v>
      </c>
      <c r="AK44" s="86" t="str">
        <f>HYPERLINK("https://yt3.ggpht.com/ytc/AIf8zZQjLwYXFcZtNL7WzRcwjnk2kbkPZgj4ntuBbg=s88-c-k-c0x00ffffff-no-rj")</f>
        <v>https://yt3.ggpht.com/ytc/AIf8zZQjLwYXFcZtNL7WzRcwjnk2kbkPZgj4ntuBbg=s88-c-k-c0x00ffffff-no-rj</v>
      </c>
      <c r="AL44" s="81">
        <v>0</v>
      </c>
      <c r="AM44" s="81">
        <v>0</v>
      </c>
      <c r="AN44" s="81">
        <v>0</v>
      </c>
      <c r="AO44" s="81" t="b">
        <v>0</v>
      </c>
      <c r="AP44" s="81">
        <v>0</v>
      </c>
      <c r="AQ44" s="81"/>
      <c r="AR44" s="81"/>
      <c r="AS44" s="81" t="s">
        <v>3378</v>
      </c>
      <c r="AT44" s="86" t="str">
        <f>HYPERLINK("https://www.youtube.com/channel/UC8_5BxlcwxZu1Ie8bJztjVQ")</f>
        <v>https://www.youtube.com/channel/UC8_5BxlcwxZu1Ie8bJztjVQ</v>
      </c>
      <c r="AU44" s="81" t="str">
        <f>REPLACE(INDEX(GroupVertices[Group],MATCH("~"&amp;Vertices[[#This Row],[Vertex]],GroupVertices[Vertex],0)),1,1,"")</f>
        <v>7</v>
      </c>
      <c r="AV44" s="49"/>
      <c r="AW44" s="49"/>
      <c r="AX44" s="49"/>
      <c r="AY44" s="49"/>
      <c r="AZ44" s="49"/>
      <c r="BA44" s="49"/>
      <c r="BB44" s="117" t="s">
        <v>3698</v>
      </c>
      <c r="BC44" s="117" t="s">
        <v>3698</v>
      </c>
      <c r="BD44" s="117" t="s">
        <v>4402</v>
      </c>
      <c r="BE44" s="117" t="s">
        <v>4402</v>
      </c>
      <c r="BF44" s="2"/>
      <c r="BG44" s="3"/>
      <c r="BH44" s="3"/>
      <c r="BI44" s="3"/>
      <c r="BJ44" s="3"/>
    </row>
    <row r="45" spans="1:62" ht="15">
      <c r="A45" s="66" t="s">
        <v>224</v>
      </c>
      <c r="B45" s="67"/>
      <c r="C45" s="67"/>
      <c r="D45" s="68">
        <v>50</v>
      </c>
      <c r="E45" s="70"/>
      <c r="F45" s="105" t="str">
        <f>HYPERLINK("https://yt3.ggpht.com/ytc/AIf8zZRpF6YIsLHhR9rZqp95T4WcJtfXSAyZRNLVbbnl=s88-c-k-c0x00ffffff-no-rj")</f>
        <v>https://yt3.ggpht.com/ytc/AIf8zZRpF6YIsLHhR9rZqp95T4WcJtfXSAyZRNLVbbnl=s88-c-k-c0x00ffffff-no-rj</v>
      </c>
      <c r="G45" s="67"/>
      <c r="H45" s="71" t="s">
        <v>2451</v>
      </c>
      <c r="I45" s="72"/>
      <c r="J45" s="72" t="s">
        <v>159</v>
      </c>
      <c r="K45" s="71" t="s">
        <v>2451</v>
      </c>
      <c r="L45" s="75">
        <v>1</v>
      </c>
      <c r="M45" s="76">
        <v>9350.7021484375</v>
      </c>
      <c r="N45" s="76">
        <v>2351.0380859375</v>
      </c>
      <c r="O45" s="77"/>
      <c r="P45" s="78"/>
      <c r="Q45" s="78"/>
      <c r="R45" s="90"/>
      <c r="S45" s="49">
        <v>0</v>
      </c>
      <c r="T45" s="49">
        <v>1</v>
      </c>
      <c r="U45" s="50">
        <v>0</v>
      </c>
      <c r="V45" s="50">
        <v>0.228681</v>
      </c>
      <c r="W45" s="51"/>
      <c r="X45" s="51"/>
      <c r="Y45" s="51"/>
      <c r="Z45" s="50"/>
      <c r="AA45" s="73">
        <v>45</v>
      </c>
      <c r="AB45" s="73"/>
      <c r="AC45" s="74"/>
      <c r="AD45" s="81" t="s">
        <v>2451</v>
      </c>
      <c r="AE45" s="81"/>
      <c r="AF45" s="81"/>
      <c r="AG45" s="81"/>
      <c r="AH45" s="81"/>
      <c r="AI45" s="81" t="s">
        <v>1690</v>
      </c>
      <c r="AJ45" s="88">
        <v>42615.84819444444</v>
      </c>
      <c r="AK45" s="86" t="str">
        <f>HYPERLINK("https://yt3.ggpht.com/ytc/AIf8zZRpF6YIsLHhR9rZqp95T4WcJtfXSAyZRNLVbbnl=s88-c-k-c0x00ffffff-no-rj")</f>
        <v>https://yt3.ggpht.com/ytc/AIf8zZRpF6YIsLHhR9rZqp95T4WcJtfXSAyZRNLVbbnl=s88-c-k-c0x00ffffff-no-rj</v>
      </c>
      <c r="AL45" s="81">
        <v>229</v>
      </c>
      <c r="AM45" s="81">
        <v>0</v>
      </c>
      <c r="AN45" s="81">
        <v>2</v>
      </c>
      <c r="AO45" s="81" t="b">
        <v>0</v>
      </c>
      <c r="AP45" s="81">
        <v>4</v>
      </c>
      <c r="AQ45" s="81"/>
      <c r="AR45" s="81"/>
      <c r="AS45" s="81" t="s">
        <v>3378</v>
      </c>
      <c r="AT45" s="86" t="str">
        <f>HYPERLINK("https://www.youtube.com/channel/UCBSANExi0TPaR1NWSGDIY_Q")</f>
        <v>https://www.youtube.com/channel/UCBSANExi0TPaR1NWSGDIY_Q</v>
      </c>
      <c r="AU45" s="81" t="str">
        <f>REPLACE(INDEX(GroupVertices[Group],MATCH("~"&amp;Vertices[[#This Row],[Vertex]],GroupVertices[Vertex],0)),1,1,"")</f>
        <v>7</v>
      </c>
      <c r="AV45" s="49"/>
      <c r="AW45" s="49"/>
      <c r="AX45" s="49"/>
      <c r="AY45" s="49"/>
      <c r="AZ45" s="49"/>
      <c r="BA45" s="49"/>
      <c r="BB45" s="117" t="s">
        <v>3699</v>
      </c>
      <c r="BC45" s="117" t="s">
        <v>3699</v>
      </c>
      <c r="BD45" s="117" t="s">
        <v>4403</v>
      </c>
      <c r="BE45" s="117" t="s">
        <v>4403</v>
      </c>
      <c r="BF45" s="2"/>
      <c r="BG45" s="3"/>
      <c r="BH45" s="3"/>
      <c r="BI45" s="3"/>
      <c r="BJ45" s="3"/>
    </row>
    <row r="46" spans="1:62" ht="15">
      <c r="A46" s="66" t="s">
        <v>225</v>
      </c>
      <c r="B46" s="67"/>
      <c r="C46" s="67"/>
      <c r="D46" s="68">
        <v>50</v>
      </c>
      <c r="E46" s="70"/>
      <c r="F46" s="105" t="str">
        <f>HYPERLINK("https://yt3.ggpht.com/ytc/AIf8zZTozxg3w7sE6NYdCeHSyx8twlnMGrkdgjzlOyJA_Q=s88-c-k-c0x00ffffff-no-rj")</f>
        <v>https://yt3.ggpht.com/ytc/AIf8zZTozxg3w7sE6NYdCeHSyx8twlnMGrkdgjzlOyJA_Q=s88-c-k-c0x00ffffff-no-rj</v>
      </c>
      <c r="G46" s="67"/>
      <c r="H46" s="71" t="s">
        <v>2452</v>
      </c>
      <c r="I46" s="72"/>
      <c r="J46" s="72" t="s">
        <v>159</v>
      </c>
      <c r="K46" s="71" t="s">
        <v>2452</v>
      </c>
      <c r="L46" s="75">
        <v>1</v>
      </c>
      <c r="M46" s="76">
        <v>9365.4521484375</v>
      </c>
      <c r="N46" s="76">
        <v>894.3900756835938</v>
      </c>
      <c r="O46" s="77"/>
      <c r="P46" s="78"/>
      <c r="Q46" s="78"/>
      <c r="R46" s="90"/>
      <c r="S46" s="49">
        <v>0</v>
      </c>
      <c r="T46" s="49">
        <v>1</v>
      </c>
      <c r="U46" s="50">
        <v>0</v>
      </c>
      <c r="V46" s="50">
        <v>0.228681</v>
      </c>
      <c r="W46" s="51"/>
      <c r="X46" s="51"/>
      <c r="Y46" s="51"/>
      <c r="Z46" s="50"/>
      <c r="AA46" s="73">
        <v>46</v>
      </c>
      <c r="AB46" s="73"/>
      <c r="AC46" s="74"/>
      <c r="AD46" s="81" t="s">
        <v>2452</v>
      </c>
      <c r="AE46" s="81"/>
      <c r="AF46" s="81"/>
      <c r="AG46" s="81"/>
      <c r="AH46" s="81"/>
      <c r="AI46" s="81" t="s">
        <v>3232</v>
      </c>
      <c r="AJ46" s="88">
        <v>40155.78376157407</v>
      </c>
      <c r="AK46" s="86" t="str">
        <f>HYPERLINK("https://yt3.ggpht.com/ytc/AIf8zZTozxg3w7sE6NYdCeHSyx8twlnMGrkdgjzlOyJA_Q=s88-c-k-c0x00ffffff-no-rj")</f>
        <v>https://yt3.ggpht.com/ytc/AIf8zZTozxg3w7sE6NYdCeHSyx8twlnMGrkdgjzlOyJA_Q=s88-c-k-c0x00ffffff-no-rj</v>
      </c>
      <c r="AL46" s="81">
        <v>0</v>
      </c>
      <c r="AM46" s="81">
        <v>0</v>
      </c>
      <c r="AN46" s="81">
        <v>1</v>
      </c>
      <c r="AO46" s="81" t="b">
        <v>0</v>
      </c>
      <c r="AP46" s="81">
        <v>0</v>
      </c>
      <c r="AQ46" s="81"/>
      <c r="AR46" s="81"/>
      <c r="AS46" s="81" t="s">
        <v>3378</v>
      </c>
      <c r="AT46" s="86" t="str">
        <f>HYPERLINK("https://www.youtube.com/channel/UCrnBoTO9TuOVbojI0U-NJKg")</f>
        <v>https://www.youtube.com/channel/UCrnBoTO9TuOVbojI0U-NJKg</v>
      </c>
      <c r="AU46" s="81" t="str">
        <f>REPLACE(INDEX(GroupVertices[Group],MATCH("~"&amp;Vertices[[#This Row],[Vertex]],GroupVertices[Vertex],0)),1,1,"")</f>
        <v>7</v>
      </c>
      <c r="AV46" s="49"/>
      <c r="AW46" s="49"/>
      <c r="AX46" s="49"/>
      <c r="AY46" s="49"/>
      <c r="AZ46" s="49"/>
      <c r="BA46" s="49"/>
      <c r="BB46" s="117" t="s">
        <v>3700</v>
      </c>
      <c r="BC46" s="117" t="s">
        <v>3700</v>
      </c>
      <c r="BD46" s="117" t="s">
        <v>4404</v>
      </c>
      <c r="BE46" s="117" t="s">
        <v>4404</v>
      </c>
      <c r="BF46" s="2"/>
      <c r="BG46" s="3"/>
      <c r="BH46" s="3"/>
      <c r="BI46" s="3"/>
      <c r="BJ46" s="3"/>
    </row>
    <row r="47" spans="1:62" ht="15">
      <c r="A47" s="66" t="s">
        <v>226</v>
      </c>
      <c r="B47" s="67"/>
      <c r="C47" s="67"/>
      <c r="D47" s="68">
        <v>50</v>
      </c>
      <c r="E47" s="70"/>
      <c r="F47" s="105" t="str">
        <f>HYPERLINK("https://yt3.ggpht.com/ytc/AIf8zZT3PDhwHr-CZlgXYx4ZYopGP5OhBNxJD0FyEg=s88-c-k-c0x00ffffff-no-rj")</f>
        <v>https://yt3.ggpht.com/ytc/AIf8zZT3PDhwHr-CZlgXYx4ZYopGP5OhBNxJD0FyEg=s88-c-k-c0x00ffffff-no-rj</v>
      </c>
      <c r="G47" s="67"/>
      <c r="H47" s="71" t="s">
        <v>2453</v>
      </c>
      <c r="I47" s="72"/>
      <c r="J47" s="72" t="s">
        <v>159</v>
      </c>
      <c r="K47" s="71" t="s">
        <v>2453</v>
      </c>
      <c r="L47" s="75">
        <v>1</v>
      </c>
      <c r="M47" s="76">
        <v>8653.755859375</v>
      </c>
      <c r="N47" s="76">
        <v>1161.918701171875</v>
      </c>
      <c r="O47" s="77"/>
      <c r="P47" s="78"/>
      <c r="Q47" s="78"/>
      <c r="R47" s="90"/>
      <c r="S47" s="49">
        <v>0</v>
      </c>
      <c r="T47" s="49">
        <v>1</v>
      </c>
      <c r="U47" s="50">
        <v>0</v>
      </c>
      <c r="V47" s="50">
        <v>0.228681</v>
      </c>
      <c r="W47" s="51"/>
      <c r="X47" s="51"/>
      <c r="Y47" s="51"/>
      <c r="Z47" s="50"/>
      <c r="AA47" s="73">
        <v>47</v>
      </c>
      <c r="AB47" s="73"/>
      <c r="AC47" s="74"/>
      <c r="AD47" s="81" t="s">
        <v>2453</v>
      </c>
      <c r="AE47" s="81"/>
      <c r="AF47" s="81"/>
      <c r="AG47" s="81"/>
      <c r="AH47" s="81"/>
      <c r="AI47" s="81" t="s">
        <v>1692</v>
      </c>
      <c r="AJ47" s="88">
        <v>43796.82760416667</v>
      </c>
      <c r="AK47" s="86" t="str">
        <f>HYPERLINK("https://yt3.ggpht.com/ytc/AIf8zZT3PDhwHr-CZlgXYx4ZYopGP5OhBNxJD0FyEg=s88-c-k-c0x00ffffff-no-rj")</f>
        <v>https://yt3.ggpht.com/ytc/AIf8zZT3PDhwHr-CZlgXYx4ZYopGP5OhBNxJD0FyEg=s88-c-k-c0x00ffffff-no-rj</v>
      </c>
      <c r="AL47" s="81">
        <v>0</v>
      </c>
      <c r="AM47" s="81">
        <v>0</v>
      </c>
      <c r="AN47" s="81">
        <v>0</v>
      </c>
      <c r="AO47" s="81" t="b">
        <v>0</v>
      </c>
      <c r="AP47" s="81">
        <v>0</v>
      </c>
      <c r="AQ47" s="81"/>
      <c r="AR47" s="81"/>
      <c r="AS47" s="81" t="s">
        <v>3378</v>
      </c>
      <c r="AT47" s="86" t="str">
        <f>HYPERLINK("https://www.youtube.com/channel/UCyeWPm88kJI4G2GII8CJ3RA")</f>
        <v>https://www.youtube.com/channel/UCyeWPm88kJI4G2GII8CJ3RA</v>
      </c>
      <c r="AU47" s="81" t="str">
        <f>REPLACE(INDEX(GroupVertices[Group],MATCH("~"&amp;Vertices[[#This Row],[Vertex]],GroupVertices[Vertex],0)),1,1,"")</f>
        <v>7</v>
      </c>
      <c r="AV47" s="49"/>
      <c r="AW47" s="49"/>
      <c r="AX47" s="49"/>
      <c r="AY47" s="49"/>
      <c r="AZ47" s="49"/>
      <c r="BA47" s="49"/>
      <c r="BB47" s="117" t="s">
        <v>3701</v>
      </c>
      <c r="BC47" s="117" t="s">
        <v>3701</v>
      </c>
      <c r="BD47" s="117" t="s">
        <v>4405</v>
      </c>
      <c r="BE47" s="117" t="s">
        <v>4405</v>
      </c>
      <c r="BF47" s="2"/>
      <c r="BG47" s="3"/>
      <c r="BH47" s="3"/>
      <c r="BI47" s="3"/>
      <c r="BJ47" s="3"/>
    </row>
    <row r="48" spans="1:62" ht="15">
      <c r="A48" s="66" t="s">
        <v>227</v>
      </c>
      <c r="B48" s="67"/>
      <c r="C48" s="67"/>
      <c r="D48" s="68">
        <v>50</v>
      </c>
      <c r="E48" s="70"/>
      <c r="F48" s="105" t="str">
        <f>HYPERLINK("https://yt3.ggpht.com/ytc/AIf8zZQaaHHoMB_RFWL8jt828SUyQ87MD9yfkEvqouCCtg=s88-c-k-c0x00ffffff-no-rj")</f>
        <v>https://yt3.ggpht.com/ytc/AIf8zZQaaHHoMB_RFWL8jt828SUyQ87MD9yfkEvqouCCtg=s88-c-k-c0x00ffffff-no-rj</v>
      </c>
      <c r="G48" s="67"/>
      <c r="H48" s="71" t="s">
        <v>2454</v>
      </c>
      <c r="I48" s="72"/>
      <c r="J48" s="72" t="s">
        <v>159</v>
      </c>
      <c r="K48" s="71" t="s">
        <v>2454</v>
      </c>
      <c r="L48" s="75">
        <v>1</v>
      </c>
      <c r="M48" s="76">
        <v>9504.134765625</v>
      </c>
      <c r="N48" s="76">
        <v>1077.201904296875</v>
      </c>
      <c r="O48" s="77"/>
      <c r="P48" s="78"/>
      <c r="Q48" s="78"/>
      <c r="R48" s="90"/>
      <c r="S48" s="49">
        <v>0</v>
      </c>
      <c r="T48" s="49">
        <v>1</v>
      </c>
      <c r="U48" s="50">
        <v>0</v>
      </c>
      <c r="V48" s="50">
        <v>0.228681</v>
      </c>
      <c r="W48" s="51"/>
      <c r="X48" s="51"/>
      <c r="Y48" s="51"/>
      <c r="Z48" s="50"/>
      <c r="AA48" s="73">
        <v>48</v>
      </c>
      <c r="AB48" s="73"/>
      <c r="AC48" s="74"/>
      <c r="AD48" s="81" t="s">
        <v>2454</v>
      </c>
      <c r="AE48" s="81"/>
      <c r="AF48" s="81"/>
      <c r="AG48" s="81"/>
      <c r="AH48" s="81"/>
      <c r="AI48" s="81" t="s">
        <v>1693</v>
      </c>
      <c r="AJ48" s="88">
        <v>43975.027766203704</v>
      </c>
      <c r="AK48" s="86" t="str">
        <f>HYPERLINK("https://yt3.ggpht.com/ytc/AIf8zZQaaHHoMB_RFWL8jt828SUyQ87MD9yfkEvqouCCtg=s88-c-k-c0x00ffffff-no-rj")</f>
        <v>https://yt3.ggpht.com/ytc/AIf8zZQaaHHoMB_RFWL8jt828SUyQ87MD9yfkEvqouCCtg=s88-c-k-c0x00ffffff-no-rj</v>
      </c>
      <c r="AL48" s="81">
        <v>0</v>
      </c>
      <c r="AM48" s="81">
        <v>0</v>
      </c>
      <c r="AN48" s="81">
        <v>0</v>
      </c>
      <c r="AO48" s="81" t="b">
        <v>0</v>
      </c>
      <c r="AP48" s="81">
        <v>0</v>
      </c>
      <c r="AQ48" s="81"/>
      <c r="AR48" s="81"/>
      <c r="AS48" s="81" t="s">
        <v>3378</v>
      </c>
      <c r="AT48" s="86" t="str">
        <f>HYPERLINK("https://www.youtube.com/channel/UCuDlfwYNwOn2xDARL7UswqQ")</f>
        <v>https://www.youtube.com/channel/UCuDlfwYNwOn2xDARL7UswqQ</v>
      </c>
      <c r="AU48" s="81" t="str">
        <f>REPLACE(INDEX(GroupVertices[Group],MATCH("~"&amp;Vertices[[#This Row],[Vertex]],GroupVertices[Vertex],0)),1,1,"")</f>
        <v>7</v>
      </c>
      <c r="AV48" s="49"/>
      <c r="AW48" s="49"/>
      <c r="AX48" s="49"/>
      <c r="AY48" s="49"/>
      <c r="AZ48" s="49"/>
      <c r="BA48" s="49"/>
      <c r="BB48" s="117" t="s">
        <v>3702</v>
      </c>
      <c r="BC48" s="117" t="s">
        <v>3702</v>
      </c>
      <c r="BD48" s="117" t="s">
        <v>4406</v>
      </c>
      <c r="BE48" s="117" t="s">
        <v>4406</v>
      </c>
      <c r="BF48" s="2"/>
      <c r="BG48" s="3"/>
      <c r="BH48" s="3"/>
      <c r="BI48" s="3"/>
      <c r="BJ48" s="3"/>
    </row>
    <row r="49" spans="1:62" ht="15">
      <c r="A49" s="66" t="s">
        <v>228</v>
      </c>
      <c r="B49" s="67"/>
      <c r="C49" s="67"/>
      <c r="D49" s="68">
        <v>50</v>
      </c>
      <c r="E49" s="70"/>
      <c r="F49" s="105" t="str">
        <f>HYPERLINK("https://yt3.ggpht.com/ytc/AIf8zZRgiby_xb7QCoqyc9GIJ2eFk0V1Ls33Zpy0WH86Dw=s88-c-k-c0x00ffffff-no-rj")</f>
        <v>https://yt3.ggpht.com/ytc/AIf8zZRgiby_xb7QCoqyc9GIJ2eFk0V1Ls33Zpy0WH86Dw=s88-c-k-c0x00ffffff-no-rj</v>
      </c>
      <c r="G49" s="67"/>
      <c r="H49" s="71" t="s">
        <v>2455</v>
      </c>
      <c r="I49" s="72"/>
      <c r="J49" s="72" t="s">
        <v>159</v>
      </c>
      <c r="K49" s="71" t="s">
        <v>2455</v>
      </c>
      <c r="L49" s="75">
        <v>1</v>
      </c>
      <c r="M49" s="76">
        <v>8986.37890625</v>
      </c>
      <c r="N49" s="76">
        <v>1674.53955078125</v>
      </c>
      <c r="O49" s="77"/>
      <c r="P49" s="78"/>
      <c r="Q49" s="78"/>
      <c r="R49" s="90"/>
      <c r="S49" s="49">
        <v>0</v>
      </c>
      <c r="T49" s="49">
        <v>1</v>
      </c>
      <c r="U49" s="50">
        <v>0</v>
      </c>
      <c r="V49" s="50">
        <v>0.228681</v>
      </c>
      <c r="W49" s="51"/>
      <c r="X49" s="51"/>
      <c r="Y49" s="51"/>
      <c r="Z49" s="50"/>
      <c r="AA49" s="73">
        <v>49</v>
      </c>
      <c r="AB49" s="73"/>
      <c r="AC49" s="74"/>
      <c r="AD49" s="81" t="s">
        <v>2455</v>
      </c>
      <c r="AE49" s="81"/>
      <c r="AF49" s="81"/>
      <c r="AG49" s="81"/>
      <c r="AH49" s="81"/>
      <c r="AI49" s="81" t="s">
        <v>1694</v>
      </c>
      <c r="AJ49" s="88">
        <v>41402.42668981481</v>
      </c>
      <c r="AK49" s="86" t="str">
        <f>HYPERLINK("https://yt3.ggpht.com/ytc/AIf8zZRgiby_xb7QCoqyc9GIJ2eFk0V1Ls33Zpy0WH86Dw=s88-c-k-c0x00ffffff-no-rj")</f>
        <v>https://yt3.ggpht.com/ytc/AIf8zZRgiby_xb7QCoqyc9GIJ2eFk0V1Ls33Zpy0WH86Dw=s88-c-k-c0x00ffffff-no-rj</v>
      </c>
      <c r="AL49" s="81">
        <v>58313</v>
      </c>
      <c r="AM49" s="81">
        <v>0</v>
      </c>
      <c r="AN49" s="81">
        <v>37</v>
      </c>
      <c r="AO49" s="81" t="b">
        <v>0</v>
      </c>
      <c r="AP49" s="81">
        <v>8</v>
      </c>
      <c r="AQ49" s="81"/>
      <c r="AR49" s="81"/>
      <c r="AS49" s="81" t="s">
        <v>3378</v>
      </c>
      <c r="AT49" s="86" t="str">
        <f>HYPERLINK("https://www.youtube.com/channel/UCR8nQZXzi-UlgIth7iYPsLw")</f>
        <v>https://www.youtube.com/channel/UCR8nQZXzi-UlgIth7iYPsLw</v>
      </c>
      <c r="AU49" s="81" t="str">
        <f>REPLACE(INDEX(GroupVertices[Group],MATCH("~"&amp;Vertices[[#This Row],[Vertex]],GroupVertices[Vertex],0)),1,1,"")</f>
        <v>7</v>
      </c>
      <c r="AV49" s="49"/>
      <c r="AW49" s="49"/>
      <c r="AX49" s="49"/>
      <c r="AY49" s="49"/>
      <c r="AZ49" s="49"/>
      <c r="BA49" s="49"/>
      <c r="BB49" s="117" t="s">
        <v>3703</v>
      </c>
      <c r="BC49" s="117" t="s">
        <v>3703</v>
      </c>
      <c r="BD49" s="117" t="s">
        <v>4407</v>
      </c>
      <c r="BE49" s="117" t="s">
        <v>4407</v>
      </c>
      <c r="BF49" s="2"/>
      <c r="BG49" s="3"/>
      <c r="BH49" s="3"/>
      <c r="BI49" s="3"/>
      <c r="BJ49" s="3"/>
    </row>
    <row r="50" spans="1:62" ht="15">
      <c r="A50" s="66" t="s">
        <v>229</v>
      </c>
      <c r="B50" s="67"/>
      <c r="C50" s="67"/>
      <c r="D50" s="68">
        <v>50</v>
      </c>
      <c r="E50" s="70"/>
      <c r="F50" s="105" t="str">
        <f>HYPERLINK("https://yt3.ggpht.com/ytc/AIf8zZT7vT1enQReWvQJFLtmjmGjrxTZ8H9WQ-u1ZA=s88-c-k-c0x00ffffff-no-rj")</f>
        <v>https://yt3.ggpht.com/ytc/AIf8zZT7vT1enQReWvQJFLtmjmGjrxTZ8H9WQ-u1ZA=s88-c-k-c0x00ffffff-no-rj</v>
      </c>
      <c r="G50" s="67"/>
      <c r="H50" s="71" t="s">
        <v>2456</v>
      </c>
      <c r="I50" s="72"/>
      <c r="J50" s="72" t="s">
        <v>159</v>
      </c>
      <c r="K50" s="71" t="s">
        <v>2456</v>
      </c>
      <c r="L50" s="75">
        <v>1</v>
      </c>
      <c r="M50" s="76">
        <v>9438.6044921875</v>
      </c>
      <c r="N50" s="76">
        <v>1634.63525390625</v>
      </c>
      <c r="O50" s="77"/>
      <c r="P50" s="78"/>
      <c r="Q50" s="78"/>
      <c r="R50" s="90"/>
      <c r="S50" s="49">
        <v>0</v>
      </c>
      <c r="T50" s="49">
        <v>1</v>
      </c>
      <c r="U50" s="50">
        <v>0</v>
      </c>
      <c r="V50" s="50">
        <v>0.228681</v>
      </c>
      <c r="W50" s="51"/>
      <c r="X50" s="51"/>
      <c r="Y50" s="51"/>
      <c r="Z50" s="50"/>
      <c r="AA50" s="73">
        <v>50</v>
      </c>
      <c r="AB50" s="73"/>
      <c r="AC50" s="74"/>
      <c r="AD50" s="81" t="s">
        <v>2456</v>
      </c>
      <c r="AE50" s="81"/>
      <c r="AF50" s="81"/>
      <c r="AG50" s="81"/>
      <c r="AH50" s="81"/>
      <c r="AI50" s="81" t="s">
        <v>1695</v>
      </c>
      <c r="AJ50" s="88">
        <v>40638.41688657407</v>
      </c>
      <c r="AK50" s="86" t="str">
        <f>HYPERLINK("https://yt3.ggpht.com/ytc/AIf8zZT7vT1enQReWvQJFLtmjmGjrxTZ8H9WQ-u1ZA=s88-c-k-c0x00ffffff-no-rj")</f>
        <v>https://yt3.ggpht.com/ytc/AIf8zZT7vT1enQReWvQJFLtmjmGjrxTZ8H9WQ-u1ZA=s88-c-k-c0x00ffffff-no-rj</v>
      </c>
      <c r="AL50" s="81">
        <v>50</v>
      </c>
      <c r="AM50" s="81">
        <v>0</v>
      </c>
      <c r="AN50" s="81">
        <v>1</v>
      </c>
      <c r="AO50" s="81" t="b">
        <v>0</v>
      </c>
      <c r="AP50" s="81">
        <v>3</v>
      </c>
      <c r="AQ50" s="81"/>
      <c r="AR50" s="81"/>
      <c r="AS50" s="81" t="s">
        <v>3378</v>
      </c>
      <c r="AT50" s="86" t="str">
        <f>HYPERLINK("https://www.youtube.com/channel/UCpJG6S3kmz2SG6L5f32SOnA")</f>
        <v>https://www.youtube.com/channel/UCpJG6S3kmz2SG6L5f32SOnA</v>
      </c>
      <c r="AU50" s="81" t="str">
        <f>REPLACE(INDEX(GroupVertices[Group],MATCH("~"&amp;Vertices[[#This Row],[Vertex]],GroupVertices[Vertex],0)),1,1,"")</f>
        <v>7</v>
      </c>
      <c r="AV50" s="49"/>
      <c r="AW50" s="49"/>
      <c r="AX50" s="49"/>
      <c r="AY50" s="49"/>
      <c r="AZ50" s="49"/>
      <c r="BA50" s="49"/>
      <c r="BB50" s="117" t="s">
        <v>3704</v>
      </c>
      <c r="BC50" s="117" t="s">
        <v>3704</v>
      </c>
      <c r="BD50" s="117" t="s">
        <v>4408</v>
      </c>
      <c r="BE50" s="117" t="s">
        <v>4408</v>
      </c>
      <c r="BF50" s="2"/>
      <c r="BG50" s="3"/>
      <c r="BH50" s="3"/>
      <c r="BI50" s="3"/>
      <c r="BJ50" s="3"/>
    </row>
    <row r="51" spans="1:62" ht="15">
      <c r="A51" s="66" t="s">
        <v>230</v>
      </c>
      <c r="B51" s="67"/>
      <c r="C51" s="67"/>
      <c r="D51" s="68">
        <v>50</v>
      </c>
      <c r="E51" s="70"/>
      <c r="F51" s="105" t="str">
        <f>HYPERLINK("https://yt3.ggpht.com/ytc/AIf8zZTPOiRYVMnVvnn437q8BOUavR24k2O2V8FhVzCHwg=s88-c-k-c0x00ffffff-no-rj")</f>
        <v>https://yt3.ggpht.com/ytc/AIf8zZTPOiRYVMnVvnn437q8BOUavR24k2O2V8FhVzCHwg=s88-c-k-c0x00ffffff-no-rj</v>
      </c>
      <c r="G51" s="67"/>
      <c r="H51" s="71" t="s">
        <v>2457</v>
      </c>
      <c r="I51" s="72"/>
      <c r="J51" s="72" t="s">
        <v>159</v>
      </c>
      <c r="K51" s="71" t="s">
        <v>2457</v>
      </c>
      <c r="L51" s="75">
        <v>1</v>
      </c>
      <c r="M51" s="76">
        <v>8904.4736328125</v>
      </c>
      <c r="N51" s="76">
        <v>3470.552490234375</v>
      </c>
      <c r="O51" s="77"/>
      <c r="P51" s="78"/>
      <c r="Q51" s="78"/>
      <c r="R51" s="90"/>
      <c r="S51" s="49">
        <v>0</v>
      </c>
      <c r="T51" s="49">
        <v>1</v>
      </c>
      <c r="U51" s="50">
        <v>0</v>
      </c>
      <c r="V51" s="50">
        <v>0.228681</v>
      </c>
      <c r="W51" s="51"/>
      <c r="X51" s="51"/>
      <c r="Y51" s="51"/>
      <c r="Z51" s="50"/>
      <c r="AA51" s="73">
        <v>51</v>
      </c>
      <c r="AB51" s="73"/>
      <c r="AC51" s="74"/>
      <c r="AD51" s="81" t="s">
        <v>2457</v>
      </c>
      <c r="AE51" s="81" t="s">
        <v>3133</v>
      </c>
      <c r="AF51" s="81"/>
      <c r="AG51" s="81"/>
      <c r="AH51" s="81"/>
      <c r="AI51" s="81" t="s">
        <v>1696</v>
      </c>
      <c r="AJ51" s="88">
        <v>42093.5922337963</v>
      </c>
      <c r="AK51" s="86" t="str">
        <f>HYPERLINK("https://yt3.ggpht.com/ytc/AIf8zZTPOiRYVMnVvnn437q8BOUavR24k2O2V8FhVzCHwg=s88-c-k-c0x00ffffff-no-rj")</f>
        <v>https://yt3.ggpht.com/ytc/AIf8zZTPOiRYVMnVvnn437q8BOUavR24k2O2V8FhVzCHwg=s88-c-k-c0x00ffffff-no-rj</v>
      </c>
      <c r="AL51" s="81">
        <v>119</v>
      </c>
      <c r="AM51" s="81">
        <v>0</v>
      </c>
      <c r="AN51" s="81">
        <v>2</v>
      </c>
      <c r="AO51" s="81" t="b">
        <v>0</v>
      </c>
      <c r="AP51" s="81">
        <v>1</v>
      </c>
      <c r="AQ51" s="81"/>
      <c r="AR51" s="81"/>
      <c r="AS51" s="81" t="s">
        <v>3378</v>
      </c>
      <c r="AT51" s="86" t="str">
        <f>HYPERLINK("https://www.youtube.com/channel/UC3suBN8-qChSFy0N2ZRlyNQ")</f>
        <v>https://www.youtube.com/channel/UC3suBN8-qChSFy0N2ZRlyNQ</v>
      </c>
      <c r="AU51" s="81" t="str">
        <f>REPLACE(INDEX(GroupVertices[Group],MATCH("~"&amp;Vertices[[#This Row],[Vertex]],GroupVertices[Vertex],0)),1,1,"")</f>
        <v>7</v>
      </c>
      <c r="AV51" s="49" t="s">
        <v>3500</v>
      </c>
      <c r="AW51" s="49" t="s">
        <v>3500</v>
      </c>
      <c r="AX51" s="49" t="s">
        <v>2414</v>
      </c>
      <c r="AY51" s="49" t="s">
        <v>2414</v>
      </c>
      <c r="AZ51" s="49"/>
      <c r="BA51" s="49"/>
      <c r="BB51" s="117" t="s">
        <v>3705</v>
      </c>
      <c r="BC51" s="117" t="s">
        <v>3705</v>
      </c>
      <c r="BD51" s="117" t="s">
        <v>4409</v>
      </c>
      <c r="BE51" s="117" t="s">
        <v>4409</v>
      </c>
      <c r="BF51" s="2"/>
      <c r="BG51" s="3"/>
      <c r="BH51" s="3"/>
      <c r="BI51" s="3"/>
      <c r="BJ51" s="3"/>
    </row>
    <row r="52" spans="1:62" ht="15">
      <c r="A52" s="66" t="s">
        <v>231</v>
      </c>
      <c r="B52" s="67"/>
      <c r="C52" s="67"/>
      <c r="D52" s="68">
        <v>50</v>
      </c>
      <c r="E52" s="70"/>
      <c r="F52" s="105" t="str">
        <f>HYPERLINK("https://yt3.ggpht.com/ytc/AIf8zZQVrLXzCiKMYeL5VhKU_W33lwsg5-afJr1wi5GN=s88-c-k-c0x00ffffff-no-rj")</f>
        <v>https://yt3.ggpht.com/ytc/AIf8zZQVrLXzCiKMYeL5VhKU_W33lwsg5-afJr1wi5GN=s88-c-k-c0x00ffffff-no-rj</v>
      </c>
      <c r="G52" s="67"/>
      <c r="H52" s="71" t="s">
        <v>2458</v>
      </c>
      <c r="I52" s="72"/>
      <c r="J52" s="72" t="s">
        <v>159</v>
      </c>
      <c r="K52" s="71" t="s">
        <v>2458</v>
      </c>
      <c r="L52" s="75">
        <v>1</v>
      </c>
      <c r="M52" s="76">
        <v>9825.8701171875</v>
      </c>
      <c r="N52" s="76">
        <v>2320.211669921875</v>
      </c>
      <c r="O52" s="77"/>
      <c r="P52" s="78"/>
      <c r="Q52" s="78"/>
      <c r="R52" s="90"/>
      <c r="S52" s="49">
        <v>0</v>
      </c>
      <c r="T52" s="49">
        <v>1</v>
      </c>
      <c r="U52" s="50">
        <v>0</v>
      </c>
      <c r="V52" s="50">
        <v>0.228681</v>
      </c>
      <c r="W52" s="51"/>
      <c r="X52" s="51"/>
      <c r="Y52" s="51"/>
      <c r="Z52" s="50"/>
      <c r="AA52" s="73">
        <v>52</v>
      </c>
      <c r="AB52" s="73"/>
      <c r="AC52" s="74"/>
      <c r="AD52" s="81" t="s">
        <v>2458</v>
      </c>
      <c r="AE52" s="81"/>
      <c r="AF52" s="81"/>
      <c r="AG52" s="81"/>
      <c r="AH52" s="81"/>
      <c r="AI52" s="81" t="s">
        <v>1697</v>
      </c>
      <c r="AJ52" s="88">
        <v>41938.442511574074</v>
      </c>
      <c r="AK52" s="86" t="str">
        <f>HYPERLINK("https://yt3.ggpht.com/ytc/AIf8zZQVrLXzCiKMYeL5VhKU_W33lwsg5-afJr1wi5GN=s88-c-k-c0x00ffffff-no-rj")</f>
        <v>https://yt3.ggpht.com/ytc/AIf8zZQVrLXzCiKMYeL5VhKU_W33lwsg5-afJr1wi5GN=s88-c-k-c0x00ffffff-no-rj</v>
      </c>
      <c r="AL52" s="81">
        <v>0</v>
      </c>
      <c r="AM52" s="81">
        <v>0</v>
      </c>
      <c r="AN52" s="81">
        <v>1</v>
      </c>
      <c r="AO52" s="81" t="b">
        <v>0</v>
      </c>
      <c r="AP52" s="81">
        <v>0</v>
      </c>
      <c r="AQ52" s="81"/>
      <c r="AR52" s="81"/>
      <c r="AS52" s="81" t="s">
        <v>3378</v>
      </c>
      <c r="AT52" s="86" t="str">
        <f>HYPERLINK("https://www.youtube.com/channel/UCFWUi7dexG5_g8HhQL9lR_w")</f>
        <v>https://www.youtube.com/channel/UCFWUi7dexG5_g8HhQL9lR_w</v>
      </c>
      <c r="AU52" s="81" t="str">
        <f>REPLACE(INDEX(GroupVertices[Group],MATCH("~"&amp;Vertices[[#This Row],[Vertex]],GroupVertices[Vertex],0)),1,1,"")</f>
        <v>7</v>
      </c>
      <c r="AV52" s="49"/>
      <c r="AW52" s="49"/>
      <c r="AX52" s="49"/>
      <c r="AY52" s="49"/>
      <c r="AZ52" s="49"/>
      <c r="BA52" s="49"/>
      <c r="BB52" s="117" t="s">
        <v>3706</v>
      </c>
      <c r="BC52" s="117" t="s">
        <v>3706</v>
      </c>
      <c r="BD52" s="117" t="s">
        <v>4410</v>
      </c>
      <c r="BE52" s="117" t="s">
        <v>4410</v>
      </c>
      <c r="BF52" s="2"/>
      <c r="BG52" s="3"/>
      <c r="BH52" s="3"/>
      <c r="BI52" s="3"/>
      <c r="BJ52" s="3"/>
    </row>
    <row r="53" spans="1:62" ht="15">
      <c r="A53" s="66" t="s">
        <v>232</v>
      </c>
      <c r="B53" s="67"/>
      <c r="C53" s="67"/>
      <c r="D53" s="68">
        <v>50</v>
      </c>
      <c r="E53" s="70"/>
      <c r="F53" s="105" t="str">
        <f>HYPERLINK("https://yt3.ggpht.com/ytc/AIf8zZQem-1DnRMoXk9e_3C4cDGnM4eHK4yYwS-Fux64=s88-c-k-c0x00ffffff-no-rj")</f>
        <v>https://yt3.ggpht.com/ytc/AIf8zZQem-1DnRMoXk9e_3C4cDGnM4eHK4yYwS-Fux64=s88-c-k-c0x00ffffff-no-rj</v>
      </c>
      <c r="G53" s="67"/>
      <c r="H53" s="71" t="s">
        <v>2459</v>
      </c>
      <c r="I53" s="72"/>
      <c r="J53" s="72" t="s">
        <v>159</v>
      </c>
      <c r="K53" s="71" t="s">
        <v>2459</v>
      </c>
      <c r="L53" s="75">
        <v>1</v>
      </c>
      <c r="M53" s="76">
        <v>9643.6669921875</v>
      </c>
      <c r="N53" s="76">
        <v>1352.487548828125</v>
      </c>
      <c r="O53" s="77"/>
      <c r="P53" s="78"/>
      <c r="Q53" s="78"/>
      <c r="R53" s="90"/>
      <c r="S53" s="49">
        <v>0</v>
      </c>
      <c r="T53" s="49">
        <v>1</v>
      </c>
      <c r="U53" s="50">
        <v>0</v>
      </c>
      <c r="V53" s="50">
        <v>0.228681</v>
      </c>
      <c r="W53" s="51"/>
      <c r="X53" s="51"/>
      <c r="Y53" s="51"/>
      <c r="Z53" s="50"/>
      <c r="AA53" s="73">
        <v>53</v>
      </c>
      <c r="AB53" s="73"/>
      <c r="AC53" s="74"/>
      <c r="AD53" s="81" t="s">
        <v>2459</v>
      </c>
      <c r="AE53" s="81"/>
      <c r="AF53" s="81"/>
      <c r="AG53" s="81"/>
      <c r="AH53" s="81"/>
      <c r="AI53" s="81" t="s">
        <v>1698</v>
      </c>
      <c r="AJ53" s="88">
        <v>42300.9346875</v>
      </c>
      <c r="AK53" s="86" t="str">
        <f>HYPERLINK("https://yt3.ggpht.com/ytc/AIf8zZQem-1DnRMoXk9e_3C4cDGnM4eHK4yYwS-Fux64=s88-c-k-c0x00ffffff-no-rj")</f>
        <v>https://yt3.ggpht.com/ytc/AIf8zZQem-1DnRMoXk9e_3C4cDGnM4eHK4yYwS-Fux64=s88-c-k-c0x00ffffff-no-rj</v>
      </c>
      <c r="AL53" s="81">
        <v>0</v>
      </c>
      <c r="AM53" s="81">
        <v>0</v>
      </c>
      <c r="AN53" s="81">
        <v>0</v>
      </c>
      <c r="AO53" s="81" t="b">
        <v>0</v>
      </c>
      <c r="AP53" s="81">
        <v>0</v>
      </c>
      <c r="AQ53" s="81"/>
      <c r="AR53" s="81"/>
      <c r="AS53" s="81" t="s">
        <v>3378</v>
      </c>
      <c r="AT53" s="86" t="str">
        <f>HYPERLINK("https://www.youtube.com/channel/UC_mFLQSUJkPGciwaJSwzesQ")</f>
        <v>https://www.youtube.com/channel/UC_mFLQSUJkPGciwaJSwzesQ</v>
      </c>
      <c r="AU53" s="81" t="str">
        <f>REPLACE(INDEX(GroupVertices[Group],MATCH("~"&amp;Vertices[[#This Row],[Vertex]],GroupVertices[Vertex],0)),1,1,"")</f>
        <v>7</v>
      </c>
      <c r="AV53" s="49"/>
      <c r="AW53" s="49"/>
      <c r="AX53" s="49"/>
      <c r="AY53" s="49"/>
      <c r="AZ53" s="49"/>
      <c r="BA53" s="49"/>
      <c r="BB53" s="117" t="s">
        <v>3707</v>
      </c>
      <c r="BC53" s="117" t="s">
        <v>3707</v>
      </c>
      <c r="BD53" s="117" t="s">
        <v>4411</v>
      </c>
      <c r="BE53" s="117" t="s">
        <v>4411</v>
      </c>
      <c r="BF53" s="2"/>
      <c r="BG53" s="3"/>
      <c r="BH53" s="3"/>
      <c r="BI53" s="3"/>
      <c r="BJ53" s="3"/>
    </row>
    <row r="54" spans="1:62" ht="15">
      <c r="A54" s="66" t="s">
        <v>233</v>
      </c>
      <c r="B54" s="67"/>
      <c r="C54" s="67"/>
      <c r="D54" s="68">
        <v>50</v>
      </c>
      <c r="E54" s="70"/>
      <c r="F54" s="105" t="str">
        <f>HYPERLINK("https://yt3.ggpht.com/Y4Z9dk8zD53NBsW7nSc7uSZ5PjOiC9phWkLLMZ-1w9ZcKUhHARXWsMJRnxN4CUzPHKpiOOedDg=s88-c-k-c0x00ffffff-no-rj")</f>
        <v>https://yt3.ggpht.com/Y4Z9dk8zD53NBsW7nSc7uSZ5PjOiC9phWkLLMZ-1w9ZcKUhHARXWsMJRnxN4CUzPHKpiOOedDg=s88-c-k-c0x00ffffff-no-rj</v>
      </c>
      <c r="G54" s="67"/>
      <c r="H54" s="71" t="s">
        <v>2460</v>
      </c>
      <c r="I54" s="72"/>
      <c r="J54" s="72" t="s">
        <v>159</v>
      </c>
      <c r="K54" s="71" t="s">
        <v>2460</v>
      </c>
      <c r="L54" s="75">
        <v>1</v>
      </c>
      <c r="M54" s="76">
        <v>9501.0947265625</v>
      </c>
      <c r="N54" s="76">
        <v>5297.69091796875</v>
      </c>
      <c r="O54" s="77"/>
      <c r="P54" s="78"/>
      <c r="Q54" s="78"/>
      <c r="R54" s="90"/>
      <c r="S54" s="49">
        <v>0</v>
      </c>
      <c r="T54" s="49">
        <v>1</v>
      </c>
      <c r="U54" s="50">
        <v>0</v>
      </c>
      <c r="V54" s="50">
        <v>0.228681</v>
      </c>
      <c r="W54" s="51"/>
      <c r="X54" s="51"/>
      <c r="Y54" s="51"/>
      <c r="Z54" s="50"/>
      <c r="AA54" s="73">
        <v>54</v>
      </c>
      <c r="AB54" s="73"/>
      <c r="AC54" s="74"/>
      <c r="AD54" s="81" t="s">
        <v>2460</v>
      </c>
      <c r="AE54" s="81"/>
      <c r="AF54" s="81"/>
      <c r="AG54" s="81"/>
      <c r="AH54" s="81"/>
      <c r="AI54" s="81" t="s">
        <v>1699</v>
      </c>
      <c r="AJ54" s="88">
        <v>45129.071493055555</v>
      </c>
      <c r="AK54" s="86" t="str">
        <f>HYPERLINK("https://yt3.ggpht.com/Y4Z9dk8zD53NBsW7nSc7uSZ5PjOiC9phWkLLMZ-1w9ZcKUhHARXWsMJRnxN4CUzPHKpiOOedDg=s88-c-k-c0x00ffffff-no-rj")</f>
        <v>https://yt3.ggpht.com/Y4Z9dk8zD53NBsW7nSc7uSZ5PjOiC9phWkLLMZ-1w9ZcKUhHARXWsMJRnxN4CUzPHKpiOOedDg=s88-c-k-c0x00ffffff-no-rj</v>
      </c>
      <c r="AL54" s="81">
        <v>0</v>
      </c>
      <c r="AM54" s="81">
        <v>0</v>
      </c>
      <c r="AN54" s="81">
        <v>0</v>
      </c>
      <c r="AO54" s="81" t="b">
        <v>0</v>
      </c>
      <c r="AP54" s="81">
        <v>0</v>
      </c>
      <c r="AQ54" s="81"/>
      <c r="AR54" s="81"/>
      <c r="AS54" s="81" t="s">
        <v>3378</v>
      </c>
      <c r="AT54" s="86" t="str">
        <f>HYPERLINK("https://www.youtube.com/channel/UCC-EgqxVX10tdLUZINlH1ag")</f>
        <v>https://www.youtube.com/channel/UCC-EgqxVX10tdLUZINlH1ag</v>
      </c>
      <c r="AU54" s="81" t="str">
        <f>REPLACE(INDEX(GroupVertices[Group],MATCH("~"&amp;Vertices[[#This Row],[Vertex]],GroupVertices[Vertex],0)),1,1,"")</f>
        <v>7</v>
      </c>
      <c r="AV54" s="49"/>
      <c r="AW54" s="49"/>
      <c r="AX54" s="49"/>
      <c r="AY54" s="49"/>
      <c r="AZ54" s="49"/>
      <c r="BA54" s="49"/>
      <c r="BB54" s="117" t="s">
        <v>3708</v>
      </c>
      <c r="BC54" s="117" t="s">
        <v>3708</v>
      </c>
      <c r="BD54" s="117" t="s">
        <v>4412</v>
      </c>
      <c r="BE54" s="117" t="s">
        <v>4412</v>
      </c>
      <c r="BF54" s="2"/>
      <c r="BG54" s="3"/>
      <c r="BH54" s="3"/>
      <c r="BI54" s="3"/>
      <c r="BJ54" s="3"/>
    </row>
    <row r="55" spans="1:62" ht="15">
      <c r="A55" s="66" t="s">
        <v>234</v>
      </c>
      <c r="B55" s="67"/>
      <c r="C55" s="67"/>
      <c r="D55" s="68">
        <v>50</v>
      </c>
      <c r="E55" s="70"/>
      <c r="F55" s="105" t="str">
        <f>HYPERLINK("https://yt3.ggpht.com/ytc/AIf8zZToHcZTyde5NIU4BRYSw3CIh4qxLSDZ2uLGxw=s88-c-k-c0x00ffffff-no-rj")</f>
        <v>https://yt3.ggpht.com/ytc/AIf8zZToHcZTyde5NIU4BRYSw3CIh4qxLSDZ2uLGxw=s88-c-k-c0x00ffffff-no-rj</v>
      </c>
      <c r="G55" s="67"/>
      <c r="H55" s="71" t="s">
        <v>2461</v>
      </c>
      <c r="I55" s="72"/>
      <c r="J55" s="72" t="s">
        <v>159</v>
      </c>
      <c r="K55" s="71" t="s">
        <v>2461</v>
      </c>
      <c r="L55" s="75">
        <v>1</v>
      </c>
      <c r="M55" s="76">
        <v>8829.060546875</v>
      </c>
      <c r="N55" s="76">
        <v>4208.5869140625</v>
      </c>
      <c r="O55" s="77"/>
      <c r="P55" s="78"/>
      <c r="Q55" s="78"/>
      <c r="R55" s="90"/>
      <c r="S55" s="49">
        <v>0</v>
      </c>
      <c r="T55" s="49">
        <v>1</v>
      </c>
      <c r="U55" s="50">
        <v>0</v>
      </c>
      <c r="V55" s="50">
        <v>0.228681</v>
      </c>
      <c r="W55" s="51"/>
      <c r="X55" s="51"/>
      <c r="Y55" s="51"/>
      <c r="Z55" s="50"/>
      <c r="AA55" s="73">
        <v>55</v>
      </c>
      <c r="AB55" s="73"/>
      <c r="AC55" s="74"/>
      <c r="AD55" s="81" t="s">
        <v>2461</v>
      </c>
      <c r="AE55" s="81"/>
      <c r="AF55" s="81"/>
      <c r="AG55" s="81"/>
      <c r="AH55" s="81"/>
      <c r="AI55" s="81" t="s">
        <v>3233</v>
      </c>
      <c r="AJ55" s="88">
        <v>41038.47934027778</v>
      </c>
      <c r="AK55" s="86" t="str">
        <f>HYPERLINK("https://yt3.ggpht.com/ytc/AIf8zZToHcZTyde5NIU4BRYSw3CIh4qxLSDZ2uLGxw=s88-c-k-c0x00ffffff-no-rj")</f>
        <v>https://yt3.ggpht.com/ytc/AIf8zZToHcZTyde5NIU4BRYSw3CIh4qxLSDZ2uLGxw=s88-c-k-c0x00ffffff-no-rj</v>
      </c>
      <c r="AL55" s="81">
        <v>0</v>
      </c>
      <c r="AM55" s="81">
        <v>0</v>
      </c>
      <c r="AN55" s="81">
        <v>2</v>
      </c>
      <c r="AO55" s="81" t="b">
        <v>0</v>
      </c>
      <c r="AP55" s="81">
        <v>0</v>
      </c>
      <c r="AQ55" s="81"/>
      <c r="AR55" s="81"/>
      <c r="AS55" s="81" t="s">
        <v>3378</v>
      </c>
      <c r="AT55" s="86" t="str">
        <f>HYPERLINK("https://www.youtube.com/channel/UCb5iYG7eeSaR7QAGBW-oT5g")</f>
        <v>https://www.youtube.com/channel/UCb5iYG7eeSaR7QAGBW-oT5g</v>
      </c>
      <c r="AU55" s="81" t="str">
        <f>REPLACE(INDEX(GroupVertices[Group],MATCH("~"&amp;Vertices[[#This Row],[Vertex]],GroupVertices[Vertex],0)),1,1,"")</f>
        <v>7</v>
      </c>
      <c r="AV55" s="49"/>
      <c r="AW55" s="49"/>
      <c r="AX55" s="49"/>
      <c r="AY55" s="49"/>
      <c r="AZ55" s="49"/>
      <c r="BA55" s="49"/>
      <c r="BB55" s="117" t="s">
        <v>3709</v>
      </c>
      <c r="BC55" s="117" t="s">
        <v>3709</v>
      </c>
      <c r="BD55" s="117" t="s">
        <v>4413</v>
      </c>
      <c r="BE55" s="117" t="s">
        <v>4413</v>
      </c>
      <c r="BF55" s="2"/>
      <c r="BG55" s="3"/>
      <c r="BH55" s="3"/>
      <c r="BI55" s="3"/>
      <c r="BJ55" s="3"/>
    </row>
    <row r="56" spans="1:62" ht="15">
      <c r="A56" s="66" t="s">
        <v>235</v>
      </c>
      <c r="B56" s="67"/>
      <c r="C56" s="67"/>
      <c r="D56" s="68">
        <v>50</v>
      </c>
      <c r="E56" s="70"/>
      <c r="F56" s="105" t="str">
        <f>HYPERLINK("https://yt3.ggpht.com/ytc/AIf8zZRyXZhbeKyKnGsXF2DhFIRarYMtiTF9Gss97g=s88-c-k-c0x00ffffff-no-rj")</f>
        <v>https://yt3.ggpht.com/ytc/AIf8zZRyXZhbeKyKnGsXF2DhFIRarYMtiTF9Gss97g=s88-c-k-c0x00ffffff-no-rj</v>
      </c>
      <c r="G56" s="67"/>
      <c r="H56" s="71" t="s">
        <v>2462</v>
      </c>
      <c r="I56" s="72"/>
      <c r="J56" s="72" t="s">
        <v>159</v>
      </c>
      <c r="K56" s="71" t="s">
        <v>2462</v>
      </c>
      <c r="L56" s="75">
        <v>1</v>
      </c>
      <c r="M56" s="76">
        <v>9878.853515625</v>
      </c>
      <c r="N56" s="76">
        <v>3161.30224609375</v>
      </c>
      <c r="O56" s="77"/>
      <c r="P56" s="78"/>
      <c r="Q56" s="78"/>
      <c r="R56" s="90"/>
      <c r="S56" s="49">
        <v>0</v>
      </c>
      <c r="T56" s="49">
        <v>1</v>
      </c>
      <c r="U56" s="50">
        <v>0</v>
      </c>
      <c r="V56" s="50">
        <v>0.228681</v>
      </c>
      <c r="W56" s="51"/>
      <c r="X56" s="51"/>
      <c r="Y56" s="51"/>
      <c r="Z56" s="50"/>
      <c r="AA56" s="73">
        <v>56</v>
      </c>
      <c r="AB56" s="73"/>
      <c r="AC56" s="74"/>
      <c r="AD56" s="81" t="s">
        <v>2462</v>
      </c>
      <c r="AE56" s="81"/>
      <c r="AF56" s="81"/>
      <c r="AG56" s="81"/>
      <c r="AH56" s="81"/>
      <c r="AI56" s="81" t="s">
        <v>3234</v>
      </c>
      <c r="AJ56" s="88">
        <v>41854.236284722225</v>
      </c>
      <c r="AK56" s="86" t="str">
        <f>HYPERLINK("https://yt3.ggpht.com/ytc/AIf8zZRyXZhbeKyKnGsXF2DhFIRarYMtiTF9Gss97g=s88-c-k-c0x00ffffff-no-rj")</f>
        <v>https://yt3.ggpht.com/ytc/AIf8zZRyXZhbeKyKnGsXF2DhFIRarYMtiTF9Gss97g=s88-c-k-c0x00ffffff-no-rj</v>
      </c>
      <c r="AL56" s="81">
        <v>0</v>
      </c>
      <c r="AM56" s="81">
        <v>0</v>
      </c>
      <c r="AN56" s="81">
        <v>48</v>
      </c>
      <c r="AO56" s="81" t="b">
        <v>0</v>
      </c>
      <c r="AP56" s="81">
        <v>0</v>
      </c>
      <c r="AQ56" s="81"/>
      <c r="AR56" s="81"/>
      <c r="AS56" s="81" t="s">
        <v>3378</v>
      </c>
      <c r="AT56" s="86" t="str">
        <f>HYPERLINK("https://www.youtube.com/channel/UCEv2sm2JJ3mT1md7jRdw2Mg")</f>
        <v>https://www.youtube.com/channel/UCEv2sm2JJ3mT1md7jRdw2Mg</v>
      </c>
      <c r="AU56" s="81" t="str">
        <f>REPLACE(INDEX(GroupVertices[Group],MATCH("~"&amp;Vertices[[#This Row],[Vertex]],GroupVertices[Vertex],0)),1,1,"")</f>
        <v>7</v>
      </c>
      <c r="AV56" s="49"/>
      <c r="AW56" s="49"/>
      <c r="AX56" s="49"/>
      <c r="AY56" s="49"/>
      <c r="AZ56" s="49"/>
      <c r="BA56" s="49"/>
      <c r="BB56" s="117" t="s">
        <v>3710</v>
      </c>
      <c r="BC56" s="117" t="s">
        <v>3710</v>
      </c>
      <c r="BD56" s="117" t="s">
        <v>4414</v>
      </c>
      <c r="BE56" s="117" t="s">
        <v>4414</v>
      </c>
      <c r="BF56" s="2"/>
      <c r="BG56" s="3"/>
      <c r="BH56" s="3"/>
      <c r="BI56" s="3"/>
      <c r="BJ56" s="3"/>
    </row>
    <row r="57" spans="1:62" ht="15">
      <c r="A57" s="66" t="s">
        <v>236</v>
      </c>
      <c r="B57" s="67"/>
      <c r="C57" s="67"/>
      <c r="D57" s="68">
        <v>50</v>
      </c>
      <c r="E57" s="70"/>
      <c r="F57" s="105" t="str">
        <f>HYPERLINK("https://yt3.ggpht.com/gqTZU1nYnKh-uCZGaQvydBMtwuWmImg8E9X0H3pDsWJPgrswN5X6xLad2u8IX_sl49bSWgje0A=s88-c-k-c0x00ffffff-no-rj")</f>
        <v>https://yt3.ggpht.com/gqTZU1nYnKh-uCZGaQvydBMtwuWmImg8E9X0H3pDsWJPgrswN5X6xLad2u8IX_sl49bSWgje0A=s88-c-k-c0x00ffffff-no-rj</v>
      </c>
      <c r="G57" s="67"/>
      <c r="H57" s="71" t="s">
        <v>2463</v>
      </c>
      <c r="I57" s="72"/>
      <c r="J57" s="72" t="s">
        <v>159</v>
      </c>
      <c r="K57" s="71" t="s">
        <v>2463</v>
      </c>
      <c r="L57" s="75">
        <v>1</v>
      </c>
      <c r="M57" s="76">
        <v>8421.529296875</v>
      </c>
      <c r="N57" s="76">
        <v>2126.32763671875</v>
      </c>
      <c r="O57" s="77"/>
      <c r="P57" s="78"/>
      <c r="Q57" s="78"/>
      <c r="R57" s="90"/>
      <c r="S57" s="49">
        <v>0</v>
      </c>
      <c r="T57" s="49">
        <v>1</v>
      </c>
      <c r="U57" s="50">
        <v>0</v>
      </c>
      <c r="V57" s="50">
        <v>0.228681</v>
      </c>
      <c r="W57" s="51"/>
      <c r="X57" s="51"/>
      <c r="Y57" s="51"/>
      <c r="Z57" s="50"/>
      <c r="AA57" s="73">
        <v>57</v>
      </c>
      <c r="AB57" s="73"/>
      <c r="AC57" s="74"/>
      <c r="AD57" s="81" t="s">
        <v>2463</v>
      </c>
      <c r="AE57" s="81"/>
      <c r="AF57" s="81"/>
      <c r="AG57" s="81"/>
      <c r="AH57" s="81"/>
      <c r="AI57" s="81" t="s">
        <v>1702</v>
      </c>
      <c r="AJ57" s="88">
        <v>41277.79828703704</v>
      </c>
      <c r="AK57" s="86" t="str">
        <f>HYPERLINK("https://yt3.ggpht.com/gqTZU1nYnKh-uCZGaQvydBMtwuWmImg8E9X0H3pDsWJPgrswN5X6xLad2u8IX_sl49bSWgje0A=s88-c-k-c0x00ffffff-no-rj")</f>
        <v>https://yt3.ggpht.com/gqTZU1nYnKh-uCZGaQvydBMtwuWmImg8E9X0H3pDsWJPgrswN5X6xLad2u8IX_sl49bSWgje0A=s88-c-k-c0x00ffffff-no-rj</v>
      </c>
      <c r="AL57" s="81">
        <v>0</v>
      </c>
      <c r="AM57" s="81">
        <v>0</v>
      </c>
      <c r="AN57" s="81">
        <v>0</v>
      </c>
      <c r="AO57" s="81" t="b">
        <v>0</v>
      </c>
      <c r="AP57" s="81">
        <v>0</v>
      </c>
      <c r="AQ57" s="81"/>
      <c r="AR57" s="81"/>
      <c r="AS57" s="81" t="s">
        <v>3378</v>
      </c>
      <c r="AT57" s="86" t="str">
        <f>HYPERLINK("https://www.youtube.com/channel/UCCUmH1l5Mc2n2BvBAc8TiiA")</f>
        <v>https://www.youtube.com/channel/UCCUmH1l5Mc2n2BvBAc8TiiA</v>
      </c>
      <c r="AU57" s="81" t="str">
        <f>REPLACE(INDEX(GroupVertices[Group],MATCH("~"&amp;Vertices[[#This Row],[Vertex]],GroupVertices[Vertex],0)),1,1,"")</f>
        <v>7</v>
      </c>
      <c r="AV57" s="49"/>
      <c r="AW57" s="49"/>
      <c r="AX57" s="49"/>
      <c r="AY57" s="49"/>
      <c r="AZ57" s="49"/>
      <c r="BA57" s="49"/>
      <c r="BB57" s="117" t="s">
        <v>3711</v>
      </c>
      <c r="BC57" s="117" t="s">
        <v>3711</v>
      </c>
      <c r="BD57" s="117" t="s">
        <v>4415</v>
      </c>
      <c r="BE57" s="117" t="s">
        <v>4415</v>
      </c>
      <c r="BF57" s="2"/>
      <c r="BG57" s="3"/>
      <c r="BH57" s="3"/>
      <c r="BI57" s="3"/>
      <c r="BJ57" s="3"/>
    </row>
    <row r="58" spans="1:62" ht="15">
      <c r="A58" s="66" t="s">
        <v>237</v>
      </c>
      <c r="B58" s="67"/>
      <c r="C58" s="67"/>
      <c r="D58" s="68">
        <v>50</v>
      </c>
      <c r="E58" s="70"/>
      <c r="F58" s="105" t="str">
        <f>HYPERLINK("https://yt3.ggpht.com/ytc/AIf8zZRUX6UIHAhbShnJk4HCq8jdupXd5RSwHli6GQ=s88-c-k-c0x00ffffff-no-rj")</f>
        <v>https://yt3.ggpht.com/ytc/AIf8zZRUX6UIHAhbShnJk4HCq8jdupXd5RSwHli6GQ=s88-c-k-c0x00ffffff-no-rj</v>
      </c>
      <c r="G58" s="67"/>
      <c r="H58" s="71" t="s">
        <v>2464</v>
      </c>
      <c r="I58" s="72"/>
      <c r="J58" s="72" t="s">
        <v>159</v>
      </c>
      <c r="K58" s="71" t="s">
        <v>2464</v>
      </c>
      <c r="L58" s="75">
        <v>1</v>
      </c>
      <c r="M58" s="76">
        <v>9011.0986328125</v>
      </c>
      <c r="N58" s="76">
        <v>731.6341552734375</v>
      </c>
      <c r="O58" s="77"/>
      <c r="P58" s="78"/>
      <c r="Q58" s="78"/>
      <c r="R58" s="90"/>
      <c r="S58" s="49">
        <v>0</v>
      </c>
      <c r="T58" s="49">
        <v>1</v>
      </c>
      <c r="U58" s="50">
        <v>0</v>
      </c>
      <c r="V58" s="50">
        <v>0.228681</v>
      </c>
      <c r="W58" s="51"/>
      <c r="X58" s="51"/>
      <c r="Y58" s="51"/>
      <c r="Z58" s="50"/>
      <c r="AA58" s="73">
        <v>58</v>
      </c>
      <c r="AB58" s="73"/>
      <c r="AC58" s="74"/>
      <c r="AD58" s="81" t="s">
        <v>2464</v>
      </c>
      <c r="AE58" s="81"/>
      <c r="AF58" s="81"/>
      <c r="AG58" s="81"/>
      <c r="AH58" s="81"/>
      <c r="AI58" s="81" t="s">
        <v>1703</v>
      </c>
      <c r="AJ58" s="88">
        <v>41830.154502314814</v>
      </c>
      <c r="AK58" s="86" t="str">
        <f>HYPERLINK("https://yt3.ggpht.com/ytc/AIf8zZRUX6UIHAhbShnJk4HCq8jdupXd5RSwHli6GQ=s88-c-k-c0x00ffffff-no-rj")</f>
        <v>https://yt3.ggpht.com/ytc/AIf8zZRUX6UIHAhbShnJk4HCq8jdupXd5RSwHli6GQ=s88-c-k-c0x00ffffff-no-rj</v>
      </c>
      <c r="AL58" s="81">
        <v>0</v>
      </c>
      <c r="AM58" s="81">
        <v>0</v>
      </c>
      <c r="AN58" s="81">
        <v>0</v>
      </c>
      <c r="AO58" s="81" t="b">
        <v>0</v>
      </c>
      <c r="AP58" s="81">
        <v>0</v>
      </c>
      <c r="AQ58" s="81"/>
      <c r="AR58" s="81"/>
      <c r="AS58" s="81" t="s">
        <v>3378</v>
      </c>
      <c r="AT58" s="86" t="str">
        <f>HYPERLINK("https://www.youtube.com/channel/UCz8ck3EFdRnJlQVmjeUpXog")</f>
        <v>https://www.youtube.com/channel/UCz8ck3EFdRnJlQVmjeUpXog</v>
      </c>
      <c r="AU58" s="81" t="str">
        <f>REPLACE(INDEX(GroupVertices[Group],MATCH("~"&amp;Vertices[[#This Row],[Vertex]],GroupVertices[Vertex],0)),1,1,"")</f>
        <v>7</v>
      </c>
      <c r="AV58" s="49"/>
      <c r="AW58" s="49"/>
      <c r="AX58" s="49"/>
      <c r="AY58" s="49"/>
      <c r="AZ58" s="49"/>
      <c r="BA58" s="49"/>
      <c r="BB58" s="117" t="s">
        <v>3712</v>
      </c>
      <c r="BC58" s="117" t="s">
        <v>3712</v>
      </c>
      <c r="BD58" s="117" t="s">
        <v>4416</v>
      </c>
      <c r="BE58" s="117" t="s">
        <v>4416</v>
      </c>
      <c r="BF58" s="2"/>
      <c r="BG58" s="3"/>
      <c r="BH58" s="3"/>
      <c r="BI58" s="3"/>
      <c r="BJ58" s="3"/>
    </row>
    <row r="59" spans="1:62" ht="15">
      <c r="A59" s="66" t="s">
        <v>238</v>
      </c>
      <c r="B59" s="67"/>
      <c r="C59" s="67"/>
      <c r="D59" s="68">
        <v>50</v>
      </c>
      <c r="E59" s="70"/>
      <c r="F59" s="105" t="str">
        <f>HYPERLINK("https://yt3.ggpht.com/ytc/AIf8zZSCDXsDrzHcX7RHsUYGthfGhRICHoJSQg9EzB3EXg=s88-c-k-c0x00ffffff-no-rj")</f>
        <v>https://yt3.ggpht.com/ytc/AIf8zZSCDXsDrzHcX7RHsUYGthfGhRICHoJSQg9EzB3EXg=s88-c-k-c0x00ffffff-no-rj</v>
      </c>
      <c r="G59" s="67"/>
      <c r="H59" s="71" t="s">
        <v>2465</v>
      </c>
      <c r="I59" s="72"/>
      <c r="J59" s="72" t="s">
        <v>159</v>
      </c>
      <c r="K59" s="71" t="s">
        <v>2465</v>
      </c>
      <c r="L59" s="75">
        <v>1</v>
      </c>
      <c r="M59" s="76">
        <v>8606.783203125</v>
      </c>
      <c r="N59" s="76">
        <v>3615.8857421875</v>
      </c>
      <c r="O59" s="77"/>
      <c r="P59" s="78"/>
      <c r="Q59" s="78"/>
      <c r="R59" s="90"/>
      <c r="S59" s="49">
        <v>0</v>
      </c>
      <c r="T59" s="49">
        <v>1</v>
      </c>
      <c r="U59" s="50">
        <v>0</v>
      </c>
      <c r="V59" s="50">
        <v>0.228681</v>
      </c>
      <c r="W59" s="51"/>
      <c r="X59" s="51"/>
      <c r="Y59" s="51"/>
      <c r="Z59" s="50"/>
      <c r="AA59" s="73">
        <v>59</v>
      </c>
      <c r="AB59" s="73"/>
      <c r="AC59" s="74"/>
      <c r="AD59" s="81" t="s">
        <v>2465</v>
      </c>
      <c r="AE59" s="81" t="s">
        <v>3134</v>
      </c>
      <c r="AF59" s="81"/>
      <c r="AG59" s="81"/>
      <c r="AH59" s="81"/>
      <c r="AI59" s="81" t="s">
        <v>1704</v>
      </c>
      <c r="AJ59" s="88">
        <v>39473.47369212963</v>
      </c>
      <c r="AK59" s="86" t="str">
        <f>HYPERLINK("https://yt3.ggpht.com/ytc/AIf8zZSCDXsDrzHcX7RHsUYGthfGhRICHoJSQg9EzB3EXg=s88-c-k-c0x00ffffff-no-rj")</f>
        <v>https://yt3.ggpht.com/ytc/AIf8zZSCDXsDrzHcX7RHsUYGthfGhRICHoJSQg9EzB3EXg=s88-c-k-c0x00ffffff-no-rj</v>
      </c>
      <c r="AL59" s="81">
        <v>22007</v>
      </c>
      <c r="AM59" s="81">
        <v>0</v>
      </c>
      <c r="AN59" s="81">
        <v>31</v>
      </c>
      <c r="AO59" s="81" t="b">
        <v>0</v>
      </c>
      <c r="AP59" s="81">
        <v>104</v>
      </c>
      <c r="AQ59" s="81"/>
      <c r="AR59" s="81"/>
      <c r="AS59" s="81" t="s">
        <v>3378</v>
      </c>
      <c r="AT59" s="86" t="str">
        <f>HYPERLINK("https://www.youtube.com/channel/UC4nOxcy61lAMtv8hDE76gNw")</f>
        <v>https://www.youtube.com/channel/UC4nOxcy61lAMtv8hDE76gNw</v>
      </c>
      <c r="AU59" s="81" t="str">
        <f>REPLACE(INDEX(GroupVertices[Group],MATCH("~"&amp;Vertices[[#This Row],[Vertex]],GroupVertices[Vertex],0)),1,1,"")</f>
        <v>7</v>
      </c>
      <c r="AV59" s="49" t="s">
        <v>3664</v>
      </c>
      <c r="AW59" s="49" t="s">
        <v>3664</v>
      </c>
      <c r="AX59" s="49" t="s">
        <v>2414</v>
      </c>
      <c r="AY59" s="49" t="s">
        <v>2414</v>
      </c>
      <c r="AZ59" s="49"/>
      <c r="BA59" s="49"/>
      <c r="BB59" s="117" t="s">
        <v>3713</v>
      </c>
      <c r="BC59" s="117" t="s">
        <v>3713</v>
      </c>
      <c r="BD59" s="117" t="s">
        <v>4417</v>
      </c>
      <c r="BE59" s="117" t="s">
        <v>4417</v>
      </c>
      <c r="BF59" s="2"/>
      <c r="BG59" s="3"/>
      <c r="BH59" s="3"/>
      <c r="BI59" s="3"/>
      <c r="BJ59" s="3"/>
    </row>
    <row r="60" spans="1:62" ht="15">
      <c r="A60" s="66" t="s">
        <v>239</v>
      </c>
      <c r="B60" s="67"/>
      <c r="C60" s="67"/>
      <c r="D60" s="68">
        <v>50</v>
      </c>
      <c r="E60" s="70"/>
      <c r="F60" s="105" t="str">
        <f>HYPERLINK("https://yt3.ggpht.com/ytc/AIf8zZTq62SOU81_qrRElfqOUj4UMEwCYdc6fNkLBg=s88-c-k-c0x00ffffff-no-rj")</f>
        <v>https://yt3.ggpht.com/ytc/AIf8zZTq62SOU81_qrRElfqOUj4UMEwCYdc6fNkLBg=s88-c-k-c0x00ffffff-no-rj</v>
      </c>
      <c r="G60" s="67"/>
      <c r="H60" s="71" t="s">
        <v>2466</v>
      </c>
      <c r="I60" s="72"/>
      <c r="J60" s="72" t="s">
        <v>159</v>
      </c>
      <c r="K60" s="71" t="s">
        <v>2466</v>
      </c>
      <c r="L60" s="75">
        <v>1</v>
      </c>
      <c r="M60" s="76">
        <v>9355.9248046875</v>
      </c>
      <c r="N60" s="76">
        <v>5467.11669921875</v>
      </c>
      <c r="O60" s="77"/>
      <c r="P60" s="78"/>
      <c r="Q60" s="78"/>
      <c r="R60" s="90"/>
      <c r="S60" s="49">
        <v>0</v>
      </c>
      <c r="T60" s="49">
        <v>1</v>
      </c>
      <c r="U60" s="50">
        <v>0</v>
      </c>
      <c r="V60" s="50">
        <v>0.228681</v>
      </c>
      <c r="W60" s="51"/>
      <c r="X60" s="51"/>
      <c r="Y60" s="51"/>
      <c r="Z60" s="50"/>
      <c r="AA60" s="73">
        <v>60</v>
      </c>
      <c r="AB60" s="73"/>
      <c r="AC60" s="74"/>
      <c r="AD60" s="81" t="s">
        <v>2466</v>
      </c>
      <c r="AE60" s="81"/>
      <c r="AF60" s="81"/>
      <c r="AG60" s="81"/>
      <c r="AH60" s="81"/>
      <c r="AI60" s="81" t="s">
        <v>1705</v>
      </c>
      <c r="AJ60" s="88">
        <v>42233.23903935185</v>
      </c>
      <c r="AK60" s="86" t="str">
        <f>HYPERLINK("https://yt3.ggpht.com/ytc/AIf8zZTq62SOU81_qrRElfqOUj4UMEwCYdc6fNkLBg=s88-c-k-c0x00ffffff-no-rj")</f>
        <v>https://yt3.ggpht.com/ytc/AIf8zZTq62SOU81_qrRElfqOUj4UMEwCYdc6fNkLBg=s88-c-k-c0x00ffffff-no-rj</v>
      </c>
      <c r="AL60" s="81">
        <v>0</v>
      </c>
      <c r="AM60" s="81">
        <v>0</v>
      </c>
      <c r="AN60" s="81">
        <v>3</v>
      </c>
      <c r="AO60" s="81" t="b">
        <v>0</v>
      </c>
      <c r="AP60" s="81">
        <v>0</v>
      </c>
      <c r="AQ60" s="81"/>
      <c r="AR60" s="81"/>
      <c r="AS60" s="81" t="s">
        <v>3378</v>
      </c>
      <c r="AT60" s="86" t="str">
        <f>HYPERLINK("https://www.youtube.com/channel/UCPHOiPD-UZkhTZ8EqYfvrMA")</f>
        <v>https://www.youtube.com/channel/UCPHOiPD-UZkhTZ8EqYfvrMA</v>
      </c>
      <c r="AU60" s="81" t="str">
        <f>REPLACE(INDEX(GroupVertices[Group],MATCH("~"&amp;Vertices[[#This Row],[Vertex]],GroupVertices[Vertex],0)),1,1,"")</f>
        <v>7</v>
      </c>
      <c r="AV60" s="49"/>
      <c r="AW60" s="49"/>
      <c r="AX60" s="49"/>
      <c r="AY60" s="49"/>
      <c r="AZ60" s="49"/>
      <c r="BA60" s="49"/>
      <c r="BB60" s="117" t="s">
        <v>3714</v>
      </c>
      <c r="BC60" s="117" t="s">
        <v>3714</v>
      </c>
      <c r="BD60" s="117" t="s">
        <v>4418</v>
      </c>
      <c r="BE60" s="117" t="s">
        <v>4418</v>
      </c>
      <c r="BF60" s="2"/>
      <c r="BG60" s="3"/>
      <c r="BH60" s="3"/>
      <c r="BI60" s="3"/>
      <c r="BJ60" s="3"/>
    </row>
    <row r="61" spans="1:62" ht="15">
      <c r="A61" s="66" t="s">
        <v>240</v>
      </c>
      <c r="B61" s="67"/>
      <c r="C61" s="67"/>
      <c r="D61" s="68">
        <v>50</v>
      </c>
      <c r="E61" s="70"/>
      <c r="F61" s="105" t="str">
        <f>HYPERLINK("https://yt3.ggpht.com/ytc/AIf8zZR_VcjVxk2AexqByM3y4KkLUwwWNi9nSkTvujlI=s88-c-k-c0x00ffffff-no-rj")</f>
        <v>https://yt3.ggpht.com/ytc/AIf8zZR_VcjVxk2AexqByM3y4KkLUwwWNi9nSkTvujlI=s88-c-k-c0x00ffffff-no-rj</v>
      </c>
      <c r="G61" s="67"/>
      <c r="H61" s="71" t="s">
        <v>2467</v>
      </c>
      <c r="I61" s="72"/>
      <c r="J61" s="72" t="s">
        <v>159</v>
      </c>
      <c r="K61" s="71" t="s">
        <v>2467</v>
      </c>
      <c r="L61" s="75">
        <v>1</v>
      </c>
      <c r="M61" s="76">
        <v>9120.1982421875</v>
      </c>
      <c r="N61" s="76">
        <v>2348.461669921875</v>
      </c>
      <c r="O61" s="77"/>
      <c r="P61" s="78"/>
      <c r="Q61" s="78"/>
      <c r="R61" s="90"/>
      <c r="S61" s="49">
        <v>0</v>
      </c>
      <c r="T61" s="49">
        <v>1</v>
      </c>
      <c r="U61" s="50">
        <v>0</v>
      </c>
      <c r="V61" s="50">
        <v>0.228681</v>
      </c>
      <c r="W61" s="51"/>
      <c r="X61" s="51"/>
      <c r="Y61" s="51"/>
      <c r="Z61" s="50"/>
      <c r="AA61" s="73">
        <v>61</v>
      </c>
      <c r="AB61" s="73"/>
      <c r="AC61" s="74"/>
      <c r="AD61" s="81" t="s">
        <v>2467</v>
      </c>
      <c r="AE61" s="81"/>
      <c r="AF61" s="81"/>
      <c r="AG61" s="81"/>
      <c r="AH61" s="81"/>
      <c r="AI61" s="81" t="s">
        <v>1706</v>
      </c>
      <c r="AJ61" s="88">
        <v>42877.39878472222</v>
      </c>
      <c r="AK61" s="86" t="str">
        <f>HYPERLINK("https://yt3.ggpht.com/ytc/AIf8zZR_VcjVxk2AexqByM3y4KkLUwwWNi9nSkTvujlI=s88-c-k-c0x00ffffff-no-rj")</f>
        <v>https://yt3.ggpht.com/ytc/AIf8zZR_VcjVxk2AexqByM3y4KkLUwwWNi9nSkTvujlI=s88-c-k-c0x00ffffff-no-rj</v>
      </c>
      <c r="AL61" s="81">
        <v>6916</v>
      </c>
      <c r="AM61" s="81">
        <v>0</v>
      </c>
      <c r="AN61" s="81">
        <v>44</v>
      </c>
      <c r="AO61" s="81" t="b">
        <v>0</v>
      </c>
      <c r="AP61" s="81">
        <v>95</v>
      </c>
      <c r="AQ61" s="81"/>
      <c r="AR61" s="81"/>
      <c r="AS61" s="81" t="s">
        <v>3378</v>
      </c>
      <c r="AT61" s="86" t="str">
        <f>HYPERLINK("https://www.youtube.com/channel/UCeE9tUuXb-Af5Z0htAbhW1A")</f>
        <v>https://www.youtube.com/channel/UCeE9tUuXb-Af5Z0htAbhW1A</v>
      </c>
      <c r="AU61" s="81" t="str">
        <f>REPLACE(INDEX(GroupVertices[Group],MATCH("~"&amp;Vertices[[#This Row],[Vertex]],GroupVertices[Vertex],0)),1,1,"")</f>
        <v>7</v>
      </c>
      <c r="AV61" s="49" t="s">
        <v>3665</v>
      </c>
      <c r="AW61" s="49" t="s">
        <v>3665</v>
      </c>
      <c r="AX61" s="49" t="s">
        <v>2414</v>
      </c>
      <c r="AY61" s="49" t="s">
        <v>2414</v>
      </c>
      <c r="AZ61" s="49"/>
      <c r="BA61" s="49"/>
      <c r="BB61" s="117" t="s">
        <v>3715</v>
      </c>
      <c r="BC61" s="117" t="s">
        <v>3715</v>
      </c>
      <c r="BD61" s="117" t="s">
        <v>4419</v>
      </c>
      <c r="BE61" s="117" t="s">
        <v>4419</v>
      </c>
      <c r="BF61" s="2"/>
      <c r="BG61" s="3"/>
      <c r="BH61" s="3"/>
      <c r="BI61" s="3"/>
      <c r="BJ61" s="3"/>
    </row>
    <row r="62" spans="1:62" ht="15">
      <c r="A62" s="66" t="s">
        <v>241</v>
      </c>
      <c r="B62" s="67"/>
      <c r="C62" s="67"/>
      <c r="D62" s="68">
        <v>50</v>
      </c>
      <c r="E62" s="70"/>
      <c r="F62" s="105" t="str">
        <f>HYPERLINK("https://yt3.ggpht.com/ytc/AIf8zZRd5JINn_S3o7lIEEs6me5IFAGUe43qwrvRaaETFc1jS1k4NysdCUqQUZIhJypA=s88-c-k-c0x00ffffff-no-rj")</f>
        <v>https://yt3.ggpht.com/ytc/AIf8zZRd5JINn_S3o7lIEEs6me5IFAGUe43qwrvRaaETFc1jS1k4NysdCUqQUZIhJypA=s88-c-k-c0x00ffffff-no-rj</v>
      </c>
      <c r="G62" s="67"/>
      <c r="H62" s="71" t="s">
        <v>2468</v>
      </c>
      <c r="I62" s="72"/>
      <c r="J62" s="72" t="s">
        <v>159</v>
      </c>
      <c r="K62" s="71" t="s">
        <v>2468</v>
      </c>
      <c r="L62" s="75">
        <v>1</v>
      </c>
      <c r="M62" s="76">
        <v>9348.40234375</v>
      </c>
      <c r="N62" s="76">
        <v>4108.892578125</v>
      </c>
      <c r="O62" s="77"/>
      <c r="P62" s="78"/>
      <c r="Q62" s="78"/>
      <c r="R62" s="90"/>
      <c r="S62" s="49">
        <v>0</v>
      </c>
      <c r="T62" s="49">
        <v>1</v>
      </c>
      <c r="U62" s="50">
        <v>0</v>
      </c>
      <c r="V62" s="50">
        <v>0.228681</v>
      </c>
      <c r="W62" s="51"/>
      <c r="X62" s="51"/>
      <c r="Y62" s="51"/>
      <c r="Z62" s="50"/>
      <c r="AA62" s="73">
        <v>62</v>
      </c>
      <c r="AB62" s="73"/>
      <c r="AC62" s="74"/>
      <c r="AD62" s="81" t="s">
        <v>2468</v>
      </c>
      <c r="AE62" s="81"/>
      <c r="AF62" s="81"/>
      <c r="AG62" s="81"/>
      <c r="AH62" s="81"/>
      <c r="AI62" s="81" t="s">
        <v>3235</v>
      </c>
      <c r="AJ62" s="88">
        <v>45063.70637731482</v>
      </c>
      <c r="AK62" s="86" t="str">
        <f>HYPERLINK("https://yt3.ggpht.com/ytc/AIf8zZRd5JINn_S3o7lIEEs6me5IFAGUe43qwrvRaaETFc1jS1k4NysdCUqQUZIhJypA=s88-c-k-c0x00ffffff-no-rj")</f>
        <v>https://yt3.ggpht.com/ytc/AIf8zZRd5JINn_S3o7lIEEs6me5IFAGUe43qwrvRaaETFc1jS1k4NysdCUqQUZIhJypA=s88-c-k-c0x00ffffff-no-rj</v>
      </c>
      <c r="AL62" s="81">
        <v>0</v>
      </c>
      <c r="AM62" s="81">
        <v>0</v>
      </c>
      <c r="AN62" s="81">
        <v>0</v>
      </c>
      <c r="AO62" s="81" t="b">
        <v>0</v>
      </c>
      <c r="AP62" s="81">
        <v>0</v>
      </c>
      <c r="AQ62" s="81"/>
      <c r="AR62" s="81"/>
      <c r="AS62" s="81" t="s">
        <v>3378</v>
      </c>
      <c r="AT62" s="86" t="str">
        <f>HYPERLINK("https://www.youtube.com/channel/UCxF1aj-PYla8B3Hnw8jCW_g")</f>
        <v>https://www.youtube.com/channel/UCxF1aj-PYla8B3Hnw8jCW_g</v>
      </c>
      <c r="AU62" s="81" t="str">
        <f>REPLACE(INDEX(GroupVertices[Group],MATCH("~"&amp;Vertices[[#This Row],[Vertex]],GroupVertices[Vertex],0)),1,1,"")</f>
        <v>7</v>
      </c>
      <c r="AV62" s="49"/>
      <c r="AW62" s="49"/>
      <c r="AX62" s="49"/>
      <c r="AY62" s="49"/>
      <c r="AZ62" s="49"/>
      <c r="BA62" s="49"/>
      <c r="BB62" s="117" t="s">
        <v>3716</v>
      </c>
      <c r="BC62" s="117" t="s">
        <v>3716</v>
      </c>
      <c r="BD62" s="117" t="s">
        <v>4420</v>
      </c>
      <c r="BE62" s="117" t="s">
        <v>4420</v>
      </c>
      <c r="BF62" s="2"/>
      <c r="BG62" s="3"/>
      <c r="BH62" s="3"/>
      <c r="BI62" s="3"/>
      <c r="BJ62" s="3"/>
    </row>
    <row r="63" spans="1:62" ht="15">
      <c r="A63" s="66" t="s">
        <v>242</v>
      </c>
      <c r="B63" s="67"/>
      <c r="C63" s="67"/>
      <c r="D63" s="68">
        <v>50</v>
      </c>
      <c r="E63" s="70"/>
      <c r="F63" s="105" t="str">
        <f>HYPERLINK("https://yt3.ggpht.com/ytc/AIf8zZQuoZaNSph3VqRMEdRQArwC5UBU6NhCEw3Wd7IBIQhVpq00aLg5CvnooaMVqkFe=s88-c-k-c0x00ffffff-no-rj")</f>
        <v>https://yt3.ggpht.com/ytc/AIf8zZQuoZaNSph3VqRMEdRQArwC5UBU6NhCEw3Wd7IBIQhVpq00aLg5CvnooaMVqkFe=s88-c-k-c0x00ffffff-no-rj</v>
      </c>
      <c r="G63" s="67"/>
      <c r="H63" s="71" t="s">
        <v>2469</v>
      </c>
      <c r="I63" s="72"/>
      <c r="J63" s="72" t="s">
        <v>159</v>
      </c>
      <c r="K63" s="71" t="s">
        <v>2469</v>
      </c>
      <c r="L63" s="75">
        <v>1</v>
      </c>
      <c r="M63" s="76">
        <v>8803.3974609375</v>
      </c>
      <c r="N63" s="76">
        <v>4907.451171875</v>
      </c>
      <c r="O63" s="77"/>
      <c r="P63" s="78"/>
      <c r="Q63" s="78"/>
      <c r="R63" s="90"/>
      <c r="S63" s="49">
        <v>0</v>
      </c>
      <c r="T63" s="49">
        <v>1</v>
      </c>
      <c r="U63" s="50">
        <v>0</v>
      </c>
      <c r="V63" s="50">
        <v>0.228681</v>
      </c>
      <c r="W63" s="51"/>
      <c r="X63" s="51"/>
      <c r="Y63" s="51"/>
      <c r="Z63" s="50"/>
      <c r="AA63" s="73">
        <v>63</v>
      </c>
      <c r="AB63" s="73"/>
      <c r="AC63" s="74"/>
      <c r="AD63" s="81" t="s">
        <v>2469</v>
      </c>
      <c r="AE63" s="81"/>
      <c r="AF63" s="81"/>
      <c r="AG63" s="81"/>
      <c r="AH63" s="81"/>
      <c r="AI63" s="81" t="s">
        <v>1708</v>
      </c>
      <c r="AJ63" s="88">
        <v>44420.49936342592</v>
      </c>
      <c r="AK63" s="86" t="str">
        <f>HYPERLINK("https://yt3.ggpht.com/ytc/AIf8zZQuoZaNSph3VqRMEdRQArwC5UBU6NhCEw3Wd7IBIQhVpq00aLg5CvnooaMVqkFe=s88-c-k-c0x00ffffff-no-rj")</f>
        <v>https://yt3.ggpht.com/ytc/AIf8zZQuoZaNSph3VqRMEdRQArwC5UBU6NhCEw3Wd7IBIQhVpq00aLg5CvnooaMVqkFe=s88-c-k-c0x00ffffff-no-rj</v>
      </c>
      <c r="AL63" s="81">
        <v>0</v>
      </c>
      <c r="AM63" s="81">
        <v>0</v>
      </c>
      <c r="AN63" s="81">
        <v>0</v>
      </c>
      <c r="AO63" s="81" t="b">
        <v>0</v>
      </c>
      <c r="AP63" s="81">
        <v>0</v>
      </c>
      <c r="AQ63" s="81"/>
      <c r="AR63" s="81"/>
      <c r="AS63" s="81" t="s">
        <v>3378</v>
      </c>
      <c r="AT63" s="86" t="str">
        <f>HYPERLINK("https://www.youtube.com/channel/UCOm3-spPyN5DgxlzuCQjMmQ")</f>
        <v>https://www.youtube.com/channel/UCOm3-spPyN5DgxlzuCQjMmQ</v>
      </c>
      <c r="AU63" s="81" t="str">
        <f>REPLACE(INDEX(GroupVertices[Group],MATCH("~"&amp;Vertices[[#This Row],[Vertex]],GroupVertices[Vertex],0)),1,1,"")</f>
        <v>7</v>
      </c>
      <c r="AV63" s="49"/>
      <c r="AW63" s="49"/>
      <c r="AX63" s="49"/>
      <c r="AY63" s="49"/>
      <c r="AZ63" s="49"/>
      <c r="BA63" s="49"/>
      <c r="BB63" s="117" t="s">
        <v>3717</v>
      </c>
      <c r="BC63" s="117" t="s">
        <v>3717</v>
      </c>
      <c r="BD63" s="117" t="s">
        <v>4421</v>
      </c>
      <c r="BE63" s="117" t="s">
        <v>4421</v>
      </c>
      <c r="BF63" s="2"/>
      <c r="BG63" s="3"/>
      <c r="BH63" s="3"/>
      <c r="BI63" s="3"/>
      <c r="BJ63" s="3"/>
    </row>
    <row r="64" spans="1:62" ht="15">
      <c r="A64" s="66" t="s">
        <v>243</v>
      </c>
      <c r="B64" s="67"/>
      <c r="C64" s="67"/>
      <c r="D64" s="68">
        <v>50</v>
      </c>
      <c r="E64" s="70"/>
      <c r="F64" s="105" t="str">
        <f>HYPERLINK("https://yt3.ggpht.com/ytc/AIf8zZRLapF0-pvu350kZu0M4P-rpINW6eeHcqztgg=s88-c-k-c0x00ffffff-no-rj")</f>
        <v>https://yt3.ggpht.com/ytc/AIf8zZRLapF0-pvu350kZu0M4P-rpINW6eeHcqztgg=s88-c-k-c0x00ffffff-no-rj</v>
      </c>
      <c r="G64" s="67"/>
      <c r="H64" s="71" t="s">
        <v>2470</v>
      </c>
      <c r="I64" s="72"/>
      <c r="J64" s="72" t="s">
        <v>159</v>
      </c>
      <c r="K64" s="71" t="s">
        <v>2470</v>
      </c>
      <c r="L64" s="75">
        <v>1</v>
      </c>
      <c r="M64" s="76">
        <v>9048.8369140625</v>
      </c>
      <c r="N64" s="76">
        <v>5578.34521484375</v>
      </c>
      <c r="O64" s="77"/>
      <c r="P64" s="78"/>
      <c r="Q64" s="78"/>
      <c r="R64" s="90"/>
      <c r="S64" s="49">
        <v>0</v>
      </c>
      <c r="T64" s="49">
        <v>1</v>
      </c>
      <c r="U64" s="50">
        <v>0</v>
      </c>
      <c r="V64" s="50">
        <v>0.228681</v>
      </c>
      <c r="W64" s="51"/>
      <c r="X64" s="51"/>
      <c r="Y64" s="51"/>
      <c r="Z64" s="50"/>
      <c r="AA64" s="73">
        <v>64</v>
      </c>
      <c r="AB64" s="73"/>
      <c r="AC64" s="74"/>
      <c r="AD64" s="81" t="s">
        <v>2470</v>
      </c>
      <c r="AE64" s="81"/>
      <c r="AF64" s="81"/>
      <c r="AG64" s="81"/>
      <c r="AH64" s="81"/>
      <c r="AI64" s="81" t="s">
        <v>1709</v>
      </c>
      <c r="AJ64" s="88">
        <v>42364.294756944444</v>
      </c>
      <c r="AK64" s="86" t="str">
        <f>HYPERLINK("https://yt3.ggpht.com/ytc/AIf8zZRLapF0-pvu350kZu0M4P-rpINW6eeHcqztgg=s88-c-k-c0x00ffffff-no-rj")</f>
        <v>https://yt3.ggpht.com/ytc/AIf8zZRLapF0-pvu350kZu0M4P-rpINW6eeHcqztgg=s88-c-k-c0x00ffffff-no-rj</v>
      </c>
      <c r="AL64" s="81">
        <v>0</v>
      </c>
      <c r="AM64" s="81">
        <v>0</v>
      </c>
      <c r="AN64" s="81">
        <v>0</v>
      </c>
      <c r="AO64" s="81" t="b">
        <v>0</v>
      </c>
      <c r="AP64" s="81">
        <v>0</v>
      </c>
      <c r="AQ64" s="81"/>
      <c r="AR64" s="81"/>
      <c r="AS64" s="81" t="s">
        <v>3378</v>
      </c>
      <c r="AT64" s="86" t="str">
        <f>HYPERLINK("https://www.youtube.com/channel/UCbukuarSw90PQz-cPQXG0BA")</f>
        <v>https://www.youtube.com/channel/UCbukuarSw90PQz-cPQXG0BA</v>
      </c>
      <c r="AU64" s="81" t="str">
        <f>REPLACE(INDEX(GroupVertices[Group],MATCH("~"&amp;Vertices[[#This Row],[Vertex]],GroupVertices[Vertex],0)),1,1,"")</f>
        <v>7</v>
      </c>
      <c r="AV64" s="49"/>
      <c r="AW64" s="49"/>
      <c r="AX64" s="49"/>
      <c r="AY64" s="49"/>
      <c r="AZ64" s="49"/>
      <c r="BA64" s="49"/>
      <c r="BB64" s="117" t="s">
        <v>3718</v>
      </c>
      <c r="BC64" s="117" t="s">
        <v>3718</v>
      </c>
      <c r="BD64" s="117" t="s">
        <v>4422</v>
      </c>
      <c r="BE64" s="117" t="s">
        <v>4422</v>
      </c>
      <c r="BF64" s="2"/>
      <c r="BG64" s="3"/>
      <c r="BH64" s="3"/>
      <c r="BI64" s="3"/>
      <c r="BJ64" s="3"/>
    </row>
    <row r="65" spans="1:62" ht="15">
      <c r="A65" s="66" t="s">
        <v>244</v>
      </c>
      <c r="B65" s="67"/>
      <c r="C65" s="67"/>
      <c r="D65" s="68">
        <v>50</v>
      </c>
      <c r="E65" s="70"/>
      <c r="F65" s="105" t="str">
        <f>HYPERLINK("https://yt3.ggpht.com/ytc/AIf8zZTFaReDnvq1QGCgapF8ttgMQRhumXIE_z9gfA=s88-c-k-c0x00ffffff-no-rj")</f>
        <v>https://yt3.ggpht.com/ytc/AIf8zZTFaReDnvq1QGCgapF8ttgMQRhumXIE_z9gfA=s88-c-k-c0x00ffffff-no-rj</v>
      </c>
      <c r="G65" s="67"/>
      <c r="H65" s="71" t="s">
        <v>2471</v>
      </c>
      <c r="I65" s="72"/>
      <c r="J65" s="72" t="s">
        <v>159</v>
      </c>
      <c r="K65" s="71" t="s">
        <v>2471</v>
      </c>
      <c r="L65" s="75">
        <v>1</v>
      </c>
      <c r="M65" s="76">
        <v>8917.36328125</v>
      </c>
      <c r="N65" s="76">
        <v>5474.181640625</v>
      </c>
      <c r="O65" s="77"/>
      <c r="P65" s="78"/>
      <c r="Q65" s="78"/>
      <c r="R65" s="90"/>
      <c r="S65" s="49">
        <v>0</v>
      </c>
      <c r="T65" s="49">
        <v>1</v>
      </c>
      <c r="U65" s="50">
        <v>0</v>
      </c>
      <c r="V65" s="50">
        <v>0.228681</v>
      </c>
      <c r="W65" s="51"/>
      <c r="X65" s="51"/>
      <c r="Y65" s="51"/>
      <c r="Z65" s="50"/>
      <c r="AA65" s="73">
        <v>65</v>
      </c>
      <c r="AB65" s="73"/>
      <c r="AC65" s="74"/>
      <c r="AD65" s="81" t="s">
        <v>2471</v>
      </c>
      <c r="AE65" s="81"/>
      <c r="AF65" s="81"/>
      <c r="AG65" s="81"/>
      <c r="AH65" s="81"/>
      <c r="AI65" s="81" t="s">
        <v>1710</v>
      </c>
      <c r="AJ65" s="88">
        <v>41528.752280092594</v>
      </c>
      <c r="AK65" s="86" t="str">
        <f>HYPERLINK("https://yt3.ggpht.com/ytc/AIf8zZTFaReDnvq1QGCgapF8ttgMQRhumXIE_z9gfA=s88-c-k-c0x00ffffff-no-rj")</f>
        <v>https://yt3.ggpht.com/ytc/AIf8zZTFaReDnvq1QGCgapF8ttgMQRhumXIE_z9gfA=s88-c-k-c0x00ffffff-no-rj</v>
      </c>
      <c r="AL65" s="81">
        <v>0</v>
      </c>
      <c r="AM65" s="81">
        <v>0</v>
      </c>
      <c r="AN65" s="81">
        <v>1</v>
      </c>
      <c r="AO65" s="81" t="b">
        <v>0</v>
      </c>
      <c r="AP65" s="81">
        <v>0</v>
      </c>
      <c r="AQ65" s="81"/>
      <c r="AR65" s="81"/>
      <c r="AS65" s="81" t="s">
        <v>3378</v>
      </c>
      <c r="AT65" s="86" t="str">
        <f>HYPERLINK("https://www.youtube.com/channel/UCci2zv9MyHCZbNxAZ9qzxtw")</f>
        <v>https://www.youtube.com/channel/UCci2zv9MyHCZbNxAZ9qzxtw</v>
      </c>
      <c r="AU65" s="81" t="str">
        <f>REPLACE(INDEX(GroupVertices[Group],MATCH("~"&amp;Vertices[[#This Row],[Vertex]],GroupVertices[Vertex],0)),1,1,"")</f>
        <v>7</v>
      </c>
      <c r="AV65" s="49"/>
      <c r="AW65" s="49"/>
      <c r="AX65" s="49"/>
      <c r="AY65" s="49"/>
      <c r="AZ65" s="49"/>
      <c r="BA65" s="49"/>
      <c r="BB65" s="117" t="s">
        <v>3719</v>
      </c>
      <c r="BC65" s="117" t="s">
        <v>3719</v>
      </c>
      <c r="BD65" s="117" t="s">
        <v>4423</v>
      </c>
      <c r="BE65" s="117" t="s">
        <v>4423</v>
      </c>
      <c r="BF65" s="2"/>
      <c r="BG65" s="3"/>
      <c r="BH65" s="3"/>
      <c r="BI65" s="3"/>
      <c r="BJ65" s="3"/>
    </row>
    <row r="66" spans="1:62" ht="15">
      <c r="A66" s="66" t="s">
        <v>245</v>
      </c>
      <c r="B66" s="67"/>
      <c r="C66" s="67"/>
      <c r="D66" s="68">
        <v>50</v>
      </c>
      <c r="E66" s="70"/>
      <c r="F66" s="105" t="str">
        <f>HYPERLINK("https://yt3.ggpht.com/ytc/AIf8zZQrhcy1jPtP-83EmtT0atHiBZVs28LKgj_J=s88-c-k-c0x00ffffff-no-rj")</f>
        <v>https://yt3.ggpht.com/ytc/AIf8zZQrhcy1jPtP-83EmtT0atHiBZVs28LKgj_J=s88-c-k-c0x00ffffff-no-rj</v>
      </c>
      <c r="G66" s="67"/>
      <c r="H66" s="71" t="s">
        <v>2472</v>
      </c>
      <c r="I66" s="72"/>
      <c r="J66" s="72" t="s">
        <v>159</v>
      </c>
      <c r="K66" s="71" t="s">
        <v>2472</v>
      </c>
      <c r="L66" s="75">
        <v>1</v>
      </c>
      <c r="M66" s="76">
        <v>9126.1923828125</v>
      </c>
      <c r="N66" s="76">
        <v>4038.99609375</v>
      </c>
      <c r="O66" s="77"/>
      <c r="P66" s="78"/>
      <c r="Q66" s="78"/>
      <c r="R66" s="90"/>
      <c r="S66" s="49">
        <v>0</v>
      </c>
      <c r="T66" s="49">
        <v>1</v>
      </c>
      <c r="U66" s="50">
        <v>0</v>
      </c>
      <c r="V66" s="50">
        <v>0.228681</v>
      </c>
      <c r="W66" s="51"/>
      <c r="X66" s="51"/>
      <c r="Y66" s="51"/>
      <c r="Z66" s="50"/>
      <c r="AA66" s="73">
        <v>66</v>
      </c>
      <c r="AB66" s="73"/>
      <c r="AC66" s="74"/>
      <c r="AD66" s="81" t="s">
        <v>2472</v>
      </c>
      <c r="AE66" s="81"/>
      <c r="AF66" s="81"/>
      <c r="AG66" s="81"/>
      <c r="AH66" s="81"/>
      <c r="AI66" s="81" t="s">
        <v>3236</v>
      </c>
      <c r="AJ66" s="88">
        <v>40794.94572916667</v>
      </c>
      <c r="AK66" s="86" t="str">
        <f>HYPERLINK("https://yt3.ggpht.com/ytc/AIf8zZQrhcy1jPtP-83EmtT0atHiBZVs28LKgj_J=s88-c-k-c0x00ffffff-no-rj")</f>
        <v>https://yt3.ggpht.com/ytc/AIf8zZQrhcy1jPtP-83EmtT0atHiBZVs28LKgj_J=s88-c-k-c0x00ffffff-no-rj</v>
      </c>
      <c r="AL66" s="81">
        <v>0</v>
      </c>
      <c r="AM66" s="81">
        <v>0</v>
      </c>
      <c r="AN66" s="81">
        <v>1</v>
      </c>
      <c r="AO66" s="81" t="b">
        <v>0</v>
      </c>
      <c r="AP66" s="81">
        <v>0</v>
      </c>
      <c r="AQ66" s="81"/>
      <c r="AR66" s="81"/>
      <c r="AS66" s="81" t="s">
        <v>3378</v>
      </c>
      <c r="AT66" s="86" t="str">
        <f>HYPERLINK("https://www.youtube.com/channel/UC81qivdOLC9MX1iyo6gFnEQ")</f>
        <v>https://www.youtube.com/channel/UC81qivdOLC9MX1iyo6gFnEQ</v>
      </c>
      <c r="AU66" s="81" t="str">
        <f>REPLACE(INDEX(GroupVertices[Group],MATCH("~"&amp;Vertices[[#This Row],[Vertex]],GroupVertices[Vertex],0)),1,1,"")</f>
        <v>7</v>
      </c>
      <c r="AV66" s="49"/>
      <c r="AW66" s="49"/>
      <c r="AX66" s="49"/>
      <c r="AY66" s="49"/>
      <c r="AZ66" s="49"/>
      <c r="BA66" s="49"/>
      <c r="BB66" s="117" t="s">
        <v>3720</v>
      </c>
      <c r="BC66" s="117" t="s">
        <v>3720</v>
      </c>
      <c r="BD66" s="117" t="s">
        <v>4424</v>
      </c>
      <c r="BE66" s="117" t="s">
        <v>4424</v>
      </c>
      <c r="BF66" s="2"/>
      <c r="BG66" s="3"/>
      <c r="BH66" s="3"/>
      <c r="BI66" s="3"/>
      <c r="BJ66" s="3"/>
    </row>
    <row r="67" spans="1:62" ht="15">
      <c r="A67" s="66" t="s">
        <v>246</v>
      </c>
      <c r="B67" s="67"/>
      <c r="C67" s="67"/>
      <c r="D67" s="68">
        <v>50</v>
      </c>
      <c r="E67" s="70"/>
      <c r="F67" s="105" t="str">
        <f>HYPERLINK("https://yt3.ggpht.com/ytc/AIf8zZS3hOgKGh5HljxPssK2U-3W4veHYVVFBYTzAw=s88-c-k-c0x00ffffff-no-rj")</f>
        <v>https://yt3.ggpht.com/ytc/AIf8zZS3hOgKGh5HljxPssK2U-3W4veHYVVFBYTzAw=s88-c-k-c0x00ffffff-no-rj</v>
      </c>
      <c r="G67" s="67"/>
      <c r="H67" s="71" t="s">
        <v>2473</v>
      </c>
      <c r="I67" s="72"/>
      <c r="J67" s="72" t="s">
        <v>159</v>
      </c>
      <c r="K67" s="71" t="s">
        <v>2473</v>
      </c>
      <c r="L67" s="75">
        <v>1</v>
      </c>
      <c r="M67" s="76">
        <v>9677.3798828125</v>
      </c>
      <c r="N67" s="76">
        <v>3028.27001953125</v>
      </c>
      <c r="O67" s="77"/>
      <c r="P67" s="78"/>
      <c r="Q67" s="78"/>
      <c r="R67" s="90"/>
      <c r="S67" s="49">
        <v>0</v>
      </c>
      <c r="T67" s="49">
        <v>1</v>
      </c>
      <c r="U67" s="50">
        <v>0</v>
      </c>
      <c r="V67" s="50">
        <v>0.228681</v>
      </c>
      <c r="W67" s="51"/>
      <c r="X67" s="51"/>
      <c r="Y67" s="51"/>
      <c r="Z67" s="50"/>
      <c r="AA67" s="73">
        <v>67</v>
      </c>
      <c r="AB67" s="73"/>
      <c r="AC67" s="74"/>
      <c r="AD67" s="81" t="s">
        <v>2473</v>
      </c>
      <c r="AE67" s="81"/>
      <c r="AF67" s="81"/>
      <c r="AG67" s="81"/>
      <c r="AH67" s="81"/>
      <c r="AI67" s="81" t="s">
        <v>1712</v>
      </c>
      <c r="AJ67" s="88">
        <v>40624.241423611114</v>
      </c>
      <c r="AK67" s="86" t="str">
        <f>HYPERLINK("https://yt3.ggpht.com/ytc/AIf8zZS3hOgKGh5HljxPssK2U-3W4veHYVVFBYTzAw=s88-c-k-c0x00ffffff-no-rj")</f>
        <v>https://yt3.ggpht.com/ytc/AIf8zZS3hOgKGh5HljxPssK2U-3W4veHYVVFBYTzAw=s88-c-k-c0x00ffffff-no-rj</v>
      </c>
      <c r="AL67" s="81">
        <v>6</v>
      </c>
      <c r="AM67" s="81">
        <v>0</v>
      </c>
      <c r="AN67" s="81">
        <v>0</v>
      </c>
      <c r="AO67" s="81" t="b">
        <v>0</v>
      </c>
      <c r="AP67" s="81">
        <v>1</v>
      </c>
      <c r="AQ67" s="81"/>
      <c r="AR67" s="81"/>
      <c r="AS67" s="81" t="s">
        <v>3378</v>
      </c>
      <c r="AT67" s="86" t="str">
        <f>HYPERLINK("https://www.youtube.com/channel/UCB08afI6J-z32bLToQ00Lig")</f>
        <v>https://www.youtube.com/channel/UCB08afI6J-z32bLToQ00Lig</v>
      </c>
      <c r="AU67" s="81" t="str">
        <f>REPLACE(INDEX(GroupVertices[Group],MATCH("~"&amp;Vertices[[#This Row],[Vertex]],GroupVertices[Vertex],0)),1,1,"")</f>
        <v>7</v>
      </c>
      <c r="AV67" s="49"/>
      <c r="AW67" s="49"/>
      <c r="AX67" s="49"/>
      <c r="AY67" s="49"/>
      <c r="AZ67" s="49"/>
      <c r="BA67" s="49"/>
      <c r="BB67" s="117" t="s">
        <v>3721</v>
      </c>
      <c r="BC67" s="117" t="s">
        <v>4358</v>
      </c>
      <c r="BD67" s="117" t="s">
        <v>4425</v>
      </c>
      <c r="BE67" s="117" t="s">
        <v>5038</v>
      </c>
      <c r="BF67" s="2"/>
      <c r="BG67" s="3"/>
      <c r="BH67" s="3"/>
      <c r="BI67" s="3"/>
      <c r="BJ67" s="3"/>
    </row>
    <row r="68" spans="1:62" ht="15">
      <c r="A68" s="66" t="s">
        <v>247</v>
      </c>
      <c r="B68" s="67"/>
      <c r="C68" s="67"/>
      <c r="D68" s="68">
        <v>50</v>
      </c>
      <c r="E68" s="70"/>
      <c r="F68" s="105" t="str">
        <f>HYPERLINK("https://yt3.ggpht.com/ytc/AIf8zZT8Y0ufWqzoh2W9ciYFr4U68hFCpk4Es2IFJrDZQQ=s88-c-k-c0x00ffffff-no-rj")</f>
        <v>https://yt3.ggpht.com/ytc/AIf8zZT8Y0ufWqzoh2W9ciYFr4U68hFCpk4Es2IFJrDZQQ=s88-c-k-c0x00ffffff-no-rj</v>
      </c>
      <c r="G68" s="67"/>
      <c r="H68" s="71" t="s">
        <v>2474</v>
      </c>
      <c r="I68" s="72"/>
      <c r="J68" s="72" t="s">
        <v>159</v>
      </c>
      <c r="K68" s="71" t="s">
        <v>2474</v>
      </c>
      <c r="L68" s="75">
        <v>1</v>
      </c>
      <c r="M68" s="76">
        <v>9820.4375</v>
      </c>
      <c r="N68" s="76">
        <v>4271.34521484375</v>
      </c>
      <c r="O68" s="77"/>
      <c r="P68" s="78"/>
      <c r="Q68" s="78"/>
      <c r="R68" s="90"/>
      <c r="S68" s="49">
        <v>0</v>
      </c>
      <c r="T68" s="49">
        <v>1</v>
      </c>
      <c r="U68" s="50">
        <v>0</v>
      </c>
      <c r="V68" s="50">
        <v>0.228681</v>
      </c>
      <c r="W68" s="51"/>
      <c r="X68" s="51"/>
      <c r="Y68" s="51"/>
      <c r="Z68" s="50"/>
      <c r="AA68" s="73">
        <v>68</v>
      </c>
      <c r="AB68" s="73"/>
      <c r="AC68" s="74"/>
      <c r="AD68" s="81" t="s">
        <v>2474</v>
      </c>
      <c r="AE68" s="81" t="s">
        <v>3135</v>
      </c>
      <c r="AF68" s="81"/>
      <c r="AG68" s="81"/>
      <c r="AH68" s="81"/>
      <c r="AI68" s="81" t="s">
        <v>1713</v>
      </c>
      <c r="AJ68" s="88">
        <v>42869.77043981481</v>
      </c>
      <c r="AK68" s="86" t="str">
        <f>HYPERLINK("https://yt3.ggpht.com/ytc/AIf8zZT8Y0ufWqzoh2W9ciYFr4U68hFCpk4Es2IFJrDZQQ=s88-c-k-c0x00ffffff-no-rj")</f>
        <v>https://yt3.ggpht.com/ytc/AIf8zZT8Y0ufWqzoh2W9ciYFr4U68hFCpk4Es2IFJrDZQQ=s88-c-k-c0x00ffffff-no-rj</v>
      </c>
      <c r="AL68" s="81">
        <v>0</v>
      </c>
      <c r="AM68" s="81">
        <v>0</v>
      </c>
      <c r="AN68" s="81">
        <v>2</v>
      </c>
      <c r="AO68" s="81" t="b">
        <v>0</v>
      </c>
      <c r="AP68" s="81">
        <v>0</v>
      </c>
      <c r="AQ68" s="81"/>
      <c r="AR68" s="81"/>
      <c r="AS68" s="81" t="s">
        <v>3378</v>
      </c>
      <c r="AT68" s="86" t="str">
        <f>HYPERLINK("https://www.youtube.com/channel/UCjlXQpFZHYRad1bWonvF-iw")</f>
        <v>https://www.youtube.com/channel/UCjlXQpFZHYRad1bWonvF-iw</v>
      </c>
      <c r="AU68" s="81" t="str">
        <f>REPLACE(INDEX(GroupVertices[Group],MATCH("~"&amp;Vertices[[#This Row],[Vertex]],GroupVertices[Vertex],0)),1,1,"")</f>
        <v>7</v>
      </c>
      <c r="AV68" s="49"/>
      <c r="AW68" s="49"/>
      <c r="AX68" s="49"/>
      <c r="AY68" s="49"/>
      <c r="AZ68" s="49"/>
      <c r="BA68" s="49"/>
      <c r="BB68" s="117" t="s">
        <v>3722</v>
      </c>
      <c r="BC68" s="117" t="s">
        <v>3722</v>
      </c>
      <c r="BD68" s="117" t="s">
        <v>4426</v>
      </c>
      <c r="BE68" s="117" t="s">
        <v>4426</v>
      </c>
      <c r="BF68" s="2"/>
      <c r="BG68" s="3"/>
      <c r="BH68" s="3"/>
      <c r="BI68" s="3"/>
      <c r="BJ68" s="3"/>
    </row>
    <row r="69" spans="1:62" ht="15">
      <c r="A69" s="66" t="s">
        <v>248</v>
      </c>
      <c r="B69" s="67"/>
      <c r="C69" s="67"/>
      <c r="D69" s="68">
        <v>50</v>
      </c>
      <c r="E69" s="70"/>
      <c r="F69" s="105" t="str">
        <f>HYPERLINK("https://yt3.ggpht.com/ytc/AIf8zZSsqXWVeJ-SBKfP58QQjIqkjCPT2c4oRRUkUq9lzCg=s88-c-k-c0x00ffffff-no-rj")</f>
        <v>https://yt3.ggpht.com/ytc/AIf8zZSsqXWVeJ-SBKfP58QQjIqkjCPT2c4oRRUkUq9lzCg=s88-c-k-c0x00ffffff-no-rj</v>
      </c>
      <c r="G69" s="67"/>
      <c r="H69" s="71" t="s">
        <v>2475</v>
      </c>
      <c r="I69" s="72"/>
      <c r="J69" s="72" t="s">
        <v>159</v>
      </c>
      <c r="K69" s="71" t="s">
        <v>2475</v>
      </c>
      <c r="L69" s="75">
        <v>1</v>
      </c>
      <c r="M69" s="76">
        <v>8371.478515625</v>
      </c>
      <c r="N69" s="76">
        <v>3880.055908203125</v>
      </c>
      <c r="O69" s="77"/>
      <c r="P69" s="78"/>
      <c r="Q69" s="78"/>
      <c r="R69" s="90"/>
      <c r="S69" s="49">
        <v>0</v>
      </c>
      <c r="T69" s="49">
        <v>1</v>
      </c>
      <c r="U69" s="50">
        <v>0</v>
      </c>
      <c r="V69" s="50">
        <v>0.228681</v>
      </c>
      <c r="W69" s="51"/>
      <c r="X69" s="51"/>
      <c r="Y69" s="51"/>
      <c r="Z69" s="50"/>
      <c r="AA69" s="73">
        <v>69</v>
      </c>
      <c r="AB69" s="73"/>
      <c r="AC69" s="74"/>
      <c r="AD69" s="81" t="s">
        <v>2475</v>
      </c>
      <c r="AE69" s="81"/>
      <c r="AF69" s="81"/>
      <c r="AG69" s="81"/>
      <c r="AH69" s="81"/>
      <c r="AI69" s="81" t="s">
        <v>3237</v>
      </c>
      <c r="AJ69" s="88">
        <v>40733.48678240741</v>
      </c>
      <c r="AK69" s="86" t="str">
        <f>HYPERLINK("https://yt3.ggpht.com/ytc/AIf8zZSsqXWVeJ-SBKfP58QQjIqkjCPT2c4oRRUkUq9lzCg=s88-c-k-c0x00ffffff-no-rj")</f>
        <v>https://yt3.ggpht.com/ytc/AIf8zZSsqXWVeJ-SBKfP58QQjIqkjCPT2c4oRRUkUq9lzCg=s88-c-k-c0x00ffffff-no-rj</v>
      </c>
      <c r="AL69" s="81">
        <v>0</v>
      </c>
      <c r="AM69" s="81">
        <v>0</v>
      </c>
      <c r="AN69" s="81">
        <v>1</v>
      </c>
      <c r="AO69" s="81" t="b">
        <v>0</v>
      </c>
      <c r="AP69" s="81">
        <v>0</v>
      </c>
      <c r="AQ69" s="81"/>
      <c r="AR69" s="81"/>
      <c r="AS69" s="81" t="s">
        <v>3378</v>
      </c>
      <c r="AT69" s="86" t="str">
        <f>HYPERLINK("https://www.youtube.com/channel/UCUymqr1H75NBt3R_Kepq9mg")</f>
        <v>https://www.youtube.com/channel/UCUymqr1H75NBt3R_Kepq9mg</v>
      </c>
      <c r="AU69" s="81" t="str">
        <f>REPLACE(INDEX(GroupVertices[Group],MATCH("~"&amp;Vertices[[#This Row],[Vertex]],GroupVertices[Vertex],0)),1,1,"")</f>
        <v>7</v>
      </c>
      <c r="AV69" s="49" t="s">
        <v>3499</v>
      </c>
      <c r="AW69" s="49" t="s">
        <v>3499</v>
      </c>
      <c r="AX69" s="49" t="s">
        <v>2414</v>
      </c>
      <c r="AY69" s="49" t="s">
        <v>2414</v>
      </c>
      <c r="AZ69" s="49"/>
      <c r="BA69" s="49"/>
      <c r="BB69" s="117" t="s">
        <v>3723</v>
      </c>
      <c r="BC69" s="117" t="s">
        <v>3723</v>
      </c>
      <c r="BD69" s="117" t="s">
        <v>4427</v>
      </c>
      <c r="BE69" s="117" t="s">
        <v>4427</v>
      </c>
      <c r="BF69" s="2"/>
      <c r="BG69" s="3"/>
      <c r="BH69" s="3"/>
      <c r="BI69" s="3"/>
      <c r="BJ69" s="3"/>
    </row>
    <row r="70" spans="1:62" ht="15">
      <c r="A70" s="66" t="s">
        <v>249</v>
      </c>
      <c r="B70" s="67"/>
      <c r="C70" s="67"/>
      <c r="D70" s="68">
        <v>50</v>
      </c>
      <c r="E70" s="70"/>
      <c r="F70" s="105" t="str">
        <f>HYPERLINK("https://yt3.ggpht.com/ytc/AIf8zZQ07KjYV-yMUjg7Lsq8GW-2WoLw7xuDeuQvSm-k3Q=s88-c-k-c0x00ffffff-no-rj")</f>
        <v>https://yt3.ggpht.com/ytc/AIf8zZQ07KjYV-yMUjg7Lsq8GW-2WoLw7xuDeuQvSm-k3Q=s88-c-k-c0x00ffffff-no-rj</v>
      </c>
      <c r="G70" s="67"/>
      <c r="H70" s="71" t="s">
        <v>2476</v>
      </c>
      <c r="I70" s="72"/>
      <c r="J70" s="72" t="s">
        <v>159</v>
      </c>
      <c r="K70" s="71" t="s">
        <v>2476</v>
      </c>
      <c r="L70" s="75">
        <v>1</v>
      </c>
      <c r="M70" s="76">
        <v>8810.9052734375</v>
      </c>
      <c r="N70" s="76">
        <v>1317.3753662109375</v>
      </c>
      <c r="O70" s="77"/>
      <c r="P70" s="78"/>
      <c r="Q70" s="78"/>
      <c r="R70" s="90"/>
      <c r="S70" s="49">
        <v>0</v>
      </c>
      <c r="T70" s="49">
        <v>1</v>
      </c>
      <c r="U70" s="50">
        <v>0</v>
      </c>
      <c r="V70" s="50">
        <v>0.228681</v>
      </c>
      <c r="W70" s="51"/>
      <c r="X70" s="51"/>
      <c r="Y70" s="51"/>
      <c r="Z70" s="50"/>
      <c r="AA70" s="73">
        <v>70</v>
      </c>
      <c r="AB70" s="73"/>
      <c r="AC70" s="74"/>
      <c r="AD70" s="81" t="s">
        <v>2476</v>
      </c>
      <c r="AE70" s="81"/>
      <c r="AF70" s="81"/>
      <c r="AG70" s="81"/>
      <c r="AH70" s="81"/>
      <c r="AI70" s="81" t="s">
        <v>1715</v>
      </c>
      <c r="AJ70" s="88">
        <v>42051.235925925925</v>
      </c>
      <c r="AK70" s="86" t="str">
        <f>HYPERLINK("https://yt3.ggpht.com/ytc/AIf8zZQ07KjYV-yMUjg7Lsq8GW-2WoLw7xuDeuQvSm-k3Q=s88-c-k-c0x00ffffff-no-rj")</f>
        <v>https://yt3.ggpht.com/ytc/AIf8zZQ07KjYV-yMUjg7Lsq8GW-2WoLw7xuDeuQvSm-k3Q=s88-c-k-c0x00ffffff-no-rj</v>
      </c>
      <c r="AL70" s="81">
        <v>0</v>
      </c>
      <c r="AM70" s="81">
        <v>0</v>
      </c>
      <c r="AN70" s="81">
        <v>0</v>
      </c>
      <c r="AO70" s="81" t="b">
        <v>0</v>
      </c>
      <c r="AP70" s="81">
        <v>0</v>
      </c>
      <c r="AQ70" s="81"/>
      <c r="AR70" s="81"/>
      <c r="AS70" s="81" t="s">
        <v>3378</v>
      </c>
      <c r="AT70" s="86" t="str">
        <f>HYPERLINK("https://www.youtube.com/channel/UCW8mXbeRxqKBuwr0ff_lK6A")</f>
        <v>https://www.youtube.com/channel/UCW8mXbeRxqKBuwr0ff_lK6A</v>
      </c>
      <c r="AU70" s="81" t="str">
        <f>REPLACE(INDEX(GroupVertices[Group],MATCH("~"&amp;Vertices[[#This Row],[Vertex]],GroupVertices[Vertex],0)),1,1,"")</f>
        <v>7</v>
      </c>
      <c r="AV70" s="49"/>
      <c r="AW70" s="49"/>
      <c r="AX70" s="49"/>
      <c r="AY70" s="49"/>
      <c r="AZ70" s="49"/>
      <c r="BA70" s="49"/>
      <c r="BB70" s="117" t="s">
        <v>3724</v>
      </c>
      <c r="BC70" s="117" t="s">
        <v>3724</v>
      </c>
      <c r="BD70" s="117" t="s">
        <v>4428</v>
      </c>
      <c r="BE70" s="117" t="s">
        <v>4428</v>
      </c>
      <c r="BF70" s="2"/>
      <c r="BG70" s="3"/>
      <c r="BH70" s="3"/>
      <c r="BI70" s="3"/>
      <c r="BJ70" s="3"/>
    </row>
    <row r="71" spans="1:62" ht="15">
      <c r="A71" s="66" t="s">
        <v>250</v>
      </c>
      <c r="B71" s="67"/>
      <c r="C71" s="67"/>
      <c r="D71" s="68">
        <v>50</v>
      </c>
      <c r="E71" s="70"/>
      <c r="F71" s="105" t="str">
        <f>HYPERLINK("https://yt3.ggpht.com/ytc/AIf8zZTXRxnxn6AtT5P40bD7R7yv-02LVC36fga7kh0T=s88-c-k-c0x00ffffff-no-rj")</f>
        <v>https://yt3.ggpht.com/ytc/AIf8zZTXRxnxn6AtT5P40bD7R7yv-02LVC36fga7kh0T=s88-c-k-c0x00ffffff-no-rj</v>
      </c>
      <c r="G71" s="67"/>
      <c r="H71" s="71" t="s">
        <v>2477</v>
      </c>
      <c r="I71" s="72"/>
      <c r="J71" s="72" t="s">
        <v>159</v>
      </c>
      <c r="K71" s="71" t="s">
        <v>2477</v>
      </c>
      <c r="L71" s="75">
        <v>1</v>
      </c>
      <c r="M71" s="76">
        <v>9728.291015625</v>
      </c>
      <c r="N71" s="76">
        <v>4687.21435546875</v>
      </c>
      <c r="O71" s="77"/>
      <c r="P71" s="78"/>
      <c r="Q71" s="78"/>
      <c r="R71" s="90"/>
      <c r="S71" s="49">
        <v>0</v>
      </c>
      <c r="T71" s="49">
        <v>1</v>
      </c>
      <c r="U71" s="50">
        <v>0</v>
      </c>
      <c r="V71" s="50">
        <v>0.228681</v>
      </c>
      <c r="W71" s="51"/>
      <c r="X71" s="51"/>
      <c r="Y71" s="51"/>
      <c r="Z71" s="50"/>
      <c r="AA71" s="73">
        <v>71</v>
      </c>
      <c r="AB71" s="73"/>
      <c r="AC71" s="74"/>
      <c r="AD71" s="81" t="s">
        <v>2477</v>
      </c>
      <c r="AE71" s="81"/>
      <c r="AF71" s="81"/>
      <c r="AG71" s="81"/>
      <c r="AH71" s="81"/>
      <c r="AI71" s="81" t="s">
        <v>1716</v>
      </c>
      <c r="AJ71" s="88">
        <v>40827.302615740744</v>
      </c>
      <c r="AK71" s="86" t="str">
        <f>HYPERLINK("https://yt3.ggpht.com/ytc/AIf8zZTXRxnxn6AtT5P40bD7R7yv-02LVC36fga7kh0T=s88-c-k-c0x00ffffff-no-rj")</f>
        <v>https://yt3.ggpht.com/ytc/AIf8zZTXRxnxn6AtT5P40bD7R7yv-02LVC36fga7kh0T=s88-c-k-c0x00ffffff-no-rj</v>
      </c>
      <c r="AL71" s="81">
        <v>0</v>
      </c>
      <c r="AM71" s="81">
        <v>0</v>
      </c>
      <c r="AN71" s="81">
        <v>0</v>
      </c>
      <c r="AO71" s="81" t="b">
        <v>0</v>
      </c>
      <c r="AP71" s="81">
        <v>0</v>
      </c>
      <c r="AQ71" s="81"/>
      <c r="AR71" s="81"/>
      <c r="AS71" s="81" t="s">
        <v>3378</v>
      </c>
      <c r="AT71" s="86" t="str">
        <f>HYPERLINK("https://www.youtube.com/channel/UC2uoVyPVdV1SG-HJejXHrHw")</f>
        <v>https://www.youtube.com/channel/UC2uoVyPVdV1SG-HJejXHrHw</v>
      </c>
      <c r="AU71" s="81" t="str">
        <f>REPLACE(INDEX(GroupVertices[Group],MATCH("~"&amp;Vertices[[#This Row],[Vertex]],GroupVertices[Vertex],0)),1,1,"")</f>
        <v>7</v>
      </c>
      <c r="AV71" s="49"/>
      <c r="AW71" s="49"/>
      <c r="AX71" s="49"/>
      <c r="AY71" s="49"/>
      <c r="AZ71" s="49"/>
      <c r="BA71" s="49"/>
      <c r="BB71" s="117" t="s">
        <v>3725</v>
      </c>
      <c r="BC71" s="117" t="s">
        <v>3725</v>
      </c>
      <c r="BD71" s="117" t="s">
        <v>4429</v>
      </c>
      <c r="BE71" s="117" t="s">
        <v>4429</v>
      </c>
      <c r="BF71" s="2"/>
      <c r="BG71" s="3"/>
      <c r="BH71" s="3"/>
      <c r="BI71" s="3"/>
      <c r="BJ71" s="3"/>
    </row>
    <row r="72" spans="1:62" ht="15">
      <c r="A72" s="66" t="s">
        <v>251</v>
      </c>
      <c r="B72" s="67"/>
      <c r="C72" s="67"/>
      <c r="D72" s="68">
        <v>50</v>
      </c>
      <c r="E72" s="70"/>
      <c r="F72" s="105" t="str">
        <f>HYPERLINK("https://yt3.ggpht.com/ytc/AIf8zZTU1ZXVWSOTXtr7pFmUCNsIL4ozZw7e50drqg=s88-c-k-c0x00ffffff-no-rj")</f>
        <v>https://yt3.ggpht.com/ytc/AIf8zZTU1ZXVWSOTXtr7pFmUCNsIL4ozZw7e50drqg=s88-c-k-c0x00ffffff-no-rj</v>
      </c>
      <c r="G72" s="67"/>
      <c r="H72" s="71" t="s">
        <v>2478</v>
      </c>
      <c r="I72" s="72"/>
      <c r="J72" s="72" t="s">
        <v>159</v>
      </c>
      <c r="K72" s="71" t="s">
        <v>2478</v>
      </c>
      <c r="L72" s="75">
        <v>1</v>
      </c>
      <c r="M72" s="76">
        <v>8426.9345703125</v>
      </c>
      <c r="N72" s="76">
        <v>4296.53857421875</v>
      </c>
      <c r="O72" s="77"/>
      <c r="P72" s="78"/>
      <c r="Q72" s="78"/>
      <c r="R72" s="90"/>
      <c r="S72" s="49">
        <v>0</v>
      </c>
      <c r="T72" s="49">
        <v>1</v>
      </c>
      <c r="U72" s="50">
        <v>0</v>
      </c>
      <c r="V72" s="50">
        <v>0.228681</v>
      </c>
      <c r="W72" s="51"/>
      <c r="X72" s="51"/>
      <c r="Y72" s="51"/>
      <c r="Z72" s="50"/>
      <c r="AA72" s="73">
        <v>72</v>
      </c>
      <c r="AB72" s="73"/>
      <c r="AC72" s="74"/>
      <c r="AD72" s="81" t="s">
        <v>2478</v>
      </c>
      <c r="AE72" s="81"/>
      <c r="AF72" s="81"/>
      <c r="AG72" s="81"/>
      <c r="AH72" s="81"/>
      <c r="AI72" s="81" t="s">
        <v>1717</v>
      </c>
      <c r="AJ72" s="88">
        <v>42567.473275462966</v>
      </c>
      <c r="AK72" s="86" t="str">
        <f>HYPERLINK("https://yt3.ggpht.com/ytc/AIf8zZTU1ZXVWSOTXtr7pFmUCNsIL4ozZw7e50drqg=s88-c-k-c0x00ffffff-no-rj")</f>
        <v>https://yt3.ggpht.com/ytc/AIf8zZTU1ZXVWSOTXtr7pFmUCNsIL4ozZw7e50drqg=s88-c-k-c0x00ffffff-no-rj</v>
      </c>
      <c r="AL72" s="81">
        <v>0</v>
      </c>
      <c r="AM72" s="81">
        <v>0</v>
      </c>
      <c r="AN72" s="81">
        <v>0</v>
      </c>
      <c r="AO72" s="81" t="b">
        <v>0</v>
      </c>
      <c r="AP72" s="81">
        <v>0</v>
      </c>
      <c r="AQ72" s="81"/>
      <c r="AR72" s="81"/>
      <c r="AS72" s="81" t="s">
        <v>3378</v>
      </c>
      <c r="AT72" s="86" t="str">
        <f>HYPERLINK("https://www.youtube.com/channel/UCWWt6acTTjrHd7XZewFu9tg")</f>
        <v>https://www.youtube.com/channel/UCWWt6acTTjrHd7XZewFu9tg</v>
      </c>
      <c r="AU72" s="81" t="str">
        <f>REPLACE(INDEX(GroupVertices[Group],MATCH("~"&amp;Vertices[[#This Row],[Vertex]],GroupVertices[Vertex],0)),1,1,"")</f>
        <v>7</v>
      </c>
      <c r="AV72" s="49"/>
      <c r="AW72" s="49"/>
      <c r="AX72" s="49"/>
      <c r="AY72" s="49"/>
      <c r="AZ72" s="49"/>
      <c r="BA72" s="49"/>
      <c r="BB72" s="117" t="s">
        <v>3726</v>
      </c>
      <c r="BC72" s="117" t="s">
        <v>3726</v>
      </c>
      <c r="BD72" s="117" t="s">
        <v>4430</v>
      </c>
      <c r="BE72" s="117" t="s">
        <v>4430</v>
      </c>
      <c r="BF72" s="2"/>
      <c r="BG72" s="3"/>
      <c r="BH72" s="3"/>
      <c r="BI72" s="3"/>
      <c r="BJ72" s="3"/>
    </row>
    <row r="73" spans="1:62" ht="15">
      <c r="A73" s="66" t="s">
        <v>252</v>
      </c>
      <c r="B73" s="67"/>
      <c r="C73" s="67"/>
      <c r="D73" s="68">
        <v>50</v>
      </c>
      <c r="E73" s="70"/>
      <c r="F73" s="105" t="str">
        <f>HYPERLINK("https://yt3.ggpht.com/ytc/AIf8zZTFF2G_qWpe5uRZtJDo2mzTf7We026yLCFuT4C8=s88-c-k-c0x00ffffff-no-rj")</f>
        <v>https://yt3.ggpht.com/ytc/AIf8zZTFF2G_qWpe5uRZtJDo2mzTf7We026yLCFuT4C8=s88-c-k-c0x00ffffff-no-rj</v>
      </c>
      <c r="G73" s="67"/>
      <c r="H73" s="71" t="s">
        <v>2479</v>
      </c>
      <c r="I73" s="72"/>
      <c r="J73" s="72" t="s">
        <v>159</v>
      </c>
      <c r="K73" s="71" t="s">
        <v>2479</v>
      </c>
      <c r="L73" s="75">
        <v>1</v>
      </c>
      <c r="M73" s="76">
        <v>9186.0546875</v>
      </c>
      <c r="N73" s="76">
        <v>5052.1630859375</v>
      </c>
      <c r="O73" s="77"/>
      <c r="P73" s="78"/>
      <c r="Q73" s="78"/>
      <c r="R73" s="90"/>
      <c r="S73" s="49">
        <v>0</v>
      </c>
      <c r="T73" s="49">
        <v>1</v>
      </c>
      <c r="U73" s="50">
        <v>0</v>
      </c>
      <c r="V73" s="50">
        <v>0.228681</v>
      </c>
      <c r="W73" s="51"/>
      <c r="X73" s="51"/>
      <c r="Y73" s="51"/>
      <c r="Z73" s="50"/>
      <c r="AA73" s="73">
        <v>73</v>
      </c>
      <c r="AB73" s="73"/>
      <c r="AC73" s="74"/>
      <c r="AD73" s="81" t="s">
        <v>2479</v>
      </c>
      <c r="AE73" s="81"/>
      <c r="AF73" s="81"/>
      <c r="AG73" s="81"/>
      <c r="AH73" s="81"/>
      <c r="AI73" s="81" t="s">
        <v>1718</v>
      </c>
      <c r="AJ73" s="88">
        <v>41554.651921296296</v>
      </c>
      <c r="AK73" s="86" t="str">
        <f>HYPERLINK("https://yt3.ggpht.com/ytc/AIf8zZTFF2G_qWpe5uRZtJDo2mzTf7We026yLCFuT4C8=s88-c-k-c0x00ffffff-no-rj")</f>
        <v>https://yt3.ggpht.com/ytc/AIf8zZTFF2G_qWpe5uRZtJDo2mzTf7We026yLCFuT4C8=s88-c-k-c0x00ffffff-no-rj</v>
      </c>
      <c r="AL73" s="81">
        <v>0</v>
      </c>
      <c r="AM73" s="81">
        <v>0</v>
      </c>
      <c r="AN73" s="81">
        <v>2</v>
      </c>
      <c r="AO73" s="81" t="b">
        <v>0</v>
      </c>
      <c r="AP73" s="81">
        <v>0</v>
      </c>
      <c r="AQ73" s="81"/>
      <c r="AR73" s="81"/>
      <c r="AS73" s="81" t="s">
        <v>3378</v>
      </c>
      <c r="AT73" s="86" t="str">
        <f>HYPERLINK("https://www.youtube.com/channel/UCOOSkOE_VGhdDbLHUYNdAZA")</f>
        <v>https://www.youtube.com/channel/UCOOSkOE_VGhdDbLHUYNdAZA</v>
      </c>
      <c r="AU73" s="81" t="str">
        <f>REPLACE(INDEX(GroupVertices[Group],MATCH("~"&amp;Vertices[[#This Row],[Vertex]],GroupVertices[Vertex],0)),1,1,"")</f>
        <v>7</v>
      </c>
      <c r="AV73" s="49"/>
      <c r="AW73" s="49"/>
      <c r="AX73" s="49"/>
      <c r="AY73" s="49"/>
      <c r="AZ73" s="49"/>
      <c r="BA73" s="49"/>
      <c r="BB73" s="117" t="s">
        <v>3727</v>
      </c>
      <c r="BC73" s="117" t="s">
        <v>3727</v>
      </c>
      <c r="BD73" s="117" t="s">
        <v>4431</v>
      </c>
      <c r="BE73" s="117" t="s">
        <v>4431</v>
      </c>
      <c r="BF73" s="2"/>
      <c r="BG73" s="3"/>
      <c r="BH73" s="3"/>
      <c r="BI73" s="3"/>
      <c r="BJ73" s="3"/>
    </row>
    <row r="74" spans="1:62" ht="15">
      <c r="A74" s="66" t="s">
        <v>253</v>
      </c>
      <c r="B74" s="67"/>
      <c r="C74" s="67"/>
      <c r="D74" s="68">
        <v>50</v>
      </c>
      <c r="E74" s="70"/>
      <c r="F74" s="105" t="str">
        <f>HYPERLINK("https://yt3.ggpht.com/ytc/AIf8zZRoLwK48uPX652pB5dBMKWTAHV6iOfhLijj7Q=s88-c-k-c0x00ffffff-no-rj")</f>
        <v>https://yt3.ggpht.com/ytc/AIf8zZRoLwK48uPX652pB5dBMKWTAHV6iOfhLijj7Q=s88-c-k-c0x00ffffff-no-rj</v>
      </c>
      <c r="G74" s="67"/>
      <c r="H74" s="71" t="s">
        <v>2480</v>
      </c>
      <c r="I74" s="72"/>
      <c r="J74" s="72" t="s">
        <v>159</v>
      </c>
      <c r="K74" s="71" t="s">
        <v>2480</v>
      </c>
      <c r="L74" s="75">
        <v>1</v>
      </c>
      <c r="M74" s="76">
        <v>9585.353515625</v>
      </c>
      <c r="N74" s="76">
        <v>2461.823486328125</v>
      </c>
      <c r="O74" s="77"/>
      <c r="P74" s="78"/>
      <c r="Q74" s="78"/>
      <c r="R74" s="90"/>
      <c r="S74" s="49">
        <v>0</v>
      </c>
      <c r="T74" s="49">
        <v>1</v>
      </c>
      <c r="U74" s="50">
        <v>0</v>
      </c>
      <c r="V74" s="50">
        <v>0.228681</v>
      </c>
      <c r="W74" s="51"/>
      <c r="X74" s="51"/>
      <c r="Y74" s="51"/>
      <c r="Z74" s="50"/>
      <c r="AA74" s="73">
        <v>74</v>
      </c>
      <c r="AB74" s="73"/>
      <c r="AC74" s="74"/>
      <c r="AD74" s="81" t="s">
        <v>2480</v>
      </c>
      <c r="AE74" s="81"/>
      <c r="AF74" s="81"/>
      <c r="AG74" s="81"/>
      <c r="AH74" s="81"/>
      <c r="AI74" s="81" t="s">
        <v>3238</v>
      </c>
      <c r="AJ74" s="88">
        <v>41175.72447916667</v>
      </c>
      <c r="AK74" s="86" t="str">
        <f>HYPERLINK("https://yt3.ggpht.com/ytc/AIf8zZRoLwK48uPX652pB5dBMKWTAHV6iOfhLijj7Q=s88-c-k-c0x00ffffff-no-rj")</f>
        <v>https://yt3.ggpht.com/ytc/AIf8zZRoLwK48uPX652pB5dBMKWTAHV6iOfhLijj7Q=s88-c-k-c0x00ffffff-no-rj</v>
      </c>
      <c r="AL74" s="81">
        <v>0</v>
      </c>
      <c r="AM74" s="81">
        <v>0</v>
      </c>
      <c r="AN74" s="81">
        <v>1</v>
      </c>
      <c r="AO74" s="81" t="b">
        <v>0</v>
      </c>
      <c r="AP74" s="81">
        <v>0</v>
      </c>
      <c r="AQ74" s="81"/>
      <c r="AR74" s="81"/>
      <c r="AS74" s="81" t="s">
        <v>3378</v>
      </c>
      <c r="AT74" s="86" t="str">
        <f>HYPERLINK("https://www.youtube.com/channel/UCYRL6kOf4mR3DpkikwgJOBw")</f>
        <v>https://www.youtube.com/channel/UCYRL6kOf4mR3DpkikwgJOBw</v>
      </c>
      <c r="AU74" s="81" t="str">
        <f>REPLACE(INDEX(GroupVertices[Group],MATCH("~"&amp;Vertices[[#This Row],[Vertex]],GroupVertices[Vertex],0)),1,1,"")</f>
        <v>7</v>
      </c>
      <c r="AV74" s="49"/>
      <c r="AW74" s="49"/>
      <c r="AX74" s="49"/>
      <c r="AY74" s="49"/>
      <c r="AZ74" s="49"/>
      <c r="BA74" s="49"/>
      <c r="BB74" s="117" t="s">
        <v>3728</v>
      </c>
      <c r="BC74" s="117" t="s">
        <v>3728</v>
      </c>
      <c r="BD74" s="117" t="s">
        <v>4432</v>
      </c>
      <c r="BE74" s="117" t="s">
        <v>4432</v>
      </c>
      <c r="BF74" s="2"/>
      <c r="BG74" s="3"/>
      <c r="BH74" s="3"/>
      <c r="BI74" s="3"/>
      <c r="BJ74" s="3"/>
    </row>
    <row r="75" spans="1:62" ht="15">
      <c r="A75" s="66" t="s">
        <v>254</v>
      </c>
      <c r="B75" s="67"/>
      <c r="C75" s="67"/>
      <c r="D75" s="68">
        <v>50</v>
      </c>
      <c r="E75" s="70"/>
      <c r="F75" s="105" t="str">
        <f>HYPERLINK("https://yt3.ggpht.com/TUJsC7dEsixc381rrkkntutQt_up5hdalaXEImabeZjkDgnd-AWGWG8yhCL1jySjVChsDBk7=s88-c-k-c0x00ffffff-no-rj")</f>
        <v>https://yt3.ggpht.com/TUJsC7dEsixc381rrkkntutQt_up5hdalaXEImabeZjkDgnd-AWGWG8yhCL1jySjVChsDBk7=s88-c-k-c0x00ffffff-no-rj</v>
      </c>
      <c r="G75" s="67"/>
      <c r="H75" s="71" t="s">
        <v>2481</v>
      </c>
      <c r="I75" s="72"/>
      <c r="J75" s="72" t="s">
        <v>159</v>
      </c>
      <c r="K75" s="71" t="s">
        <v>2481</v>
      </c>
      <c r="L75" s="75">
        <v>1</v>
      </c>
      <c r="M75" s="76">
        <v>8764.7705078125</v>
      </c>
      <c r="N75" s="76">
        <v>5385.037109375</v>
      </c>
      <c r="O75" s="77"/>
      <c r="P75" s="78"/>
      <c r="Q75" s="78"/>
      <c r="R75" s="90"/>
      <c r="S75" s="49">
        <v>0</v>
      </c>
      <c r="T75" s="49">
        <v>1</v>
      </c>
      <c r="U75" s="50">
        <v>0</v>
      </c>
      <c r="V75" s="50">
        <v>0.228681</v>
      </c>
      <c r="W75" s="51"/>
      <c r="X75" s="51"/>
      <c r="Y75" s="51"/>
      <c r="Z75" s="50"/>
      <c r="AA75" s="73">
        <v>75</v>
      </c>
      <c r="AB75" s="73"/>
      <c r="AC75" s="74"/>
      <c r="AD75" s="81" t="s">
        <v>2481</v>
      </c>
      <c r="AE75" s="81"/>
      <c r="AF75" s="81"/>
      <c r="AG75" s="81"/>
      <c r="AH75" s="81"/>
      <c r="AI75" s="81" t="s">
        <v>1720</v>
      </c>
      <c r="AJ75" s="88">
        <v>42785.747199074074</v>
      </c>
      <c r="AK75" s="86" t="str">
        <f>HYPERLINK("https://yt3.ggpht.com/TUJsC7dEsixc381rrkkntutQt_up5hdalaXEImabeZjkDgnd-AWGWG8yhCL1jySjVChsDBk7=s88-c-k-c0x00ffffff-no-rj")</f>
        <v>https://yt3.ggpht.com/TUJsC7dEsixc381rrkkntutQt_up5hdalaXEImabeZjkDgnd-AWGWG8yhCL1jySjVChsDBk7=s88-c-k-c0x00ffffff-no-rj</v>
      </c>
      <c r="AL75" s="81">
        <v>0</v>
      </c>
      <c r="AM75" s="81">
        <v>0</v>
      </c>
      <c r="AN75" s="81">
        <v>2</v>
      </c>
      <c r="AO75" s="81" t="b">
        <v>0</v>
      </c>
      <c r="AP75" s="81">
        <v>0</v>
      </c>
      <c r="AQ75" s="81"/>
      <c r="AR75" s="81"/>
      <c r="AS75" s="81" t="s">
        <v>3378</v>
      </c>
      <c r="AT75" s="86" t="str">
        <f>HYPERLINK("https://www.youtube.com/channel/UC-bSGTu31rUMzINLD3EIF-g")</f>
        <v>https://www.youtube.com/channel/UC-bSGTu31rUMzINLD3EIF-g</v>
      </c>
      <c r="AU75" s="81" t="str">
        <f>REPLACE(INDEX(GroupVertices[Group],MATCH("~"&amp;Vertices[[#This Row],[Vertex]],GroupVertices[Vertex],0)),1,1,"")</f>
        <v>7</v>
      </c>
      <c r="AV75" s="49"/>
      <c r="AW75" s="49"/>
      <c r="AX75" s="49"/>
      <c r="AY75" s="49"/>
      <c r="AZ75" s="49"/>
      <c r="BA75" s="49"/>
      <c r="BB75" s="117" t="s">
        <v>3729</v>
      </c>
      <c r="BC75" s="117" t="s">
        <v>3729</v>
      </c>
      <c r="BD75" s="117" t="s">
        <v>4433</v>
      </c>
      <c r="BE75" s="117" t="s">
        <v>4433</v>
      </c>
      <c r="BF75" s="2"/>
      <c r="BG75" s="3"/>
      <c r="BH75" s="3"/>
      <c r="BI75" s="3"/>
      <c r="BJ75" s="3"/>
    </row>
    <row r="76" spans="1:62" ht="15">
      <c r="A76" s="66" t="s">
        <v>255</v>
      </c>
      <c r="B76" s="67"/>
      <c r="C76" s="67"/>
      <c r="D76" s="68">
        <v>50</v>
      </c>
      <c r="E76" s="70"/>
      <c r="F76" s="105" t="str">
        <f>HYPERLINK("https://yt3.ggpht.com/cZmmBC2iBii4Oz9RPqmjrJPlAKjazhhggP8e5pwygBgEB10uKuZXeprkPViYXXau2AElnXygFQw=s88-c-k-c0x00ffffff-no-rj")</f>
        <v>https://yt3.ggpht.com/cZmmBC2iBii4Oz9RPqmjrJPlAKjazhhggP8e5pwygBgEB10uKuZXeprkPViYXXau2AElnXygFQw=s88-c-k-c0x00ffffff-no-rj</v>
      </c>
      <c r="G76" s="67"/>
      <c r="H76" s="71" t="s">
        <v>2482</v>
      </c>
      <c r="I76" s="72"/>
      <c r="J76" s="72" t="s">
        <v>159</v>
      </c>
      <c r="K76" s="71" t="s">
        <v>2482</v>
      </c>
      <c r="L76" s="75">
        <v>1</v>
      </c>
      <c r="M76" s="76">
        <v>9216.6572265625</v>
      </c>
      <c r="N76" s="76">
        <v>754.1181640625</v>
      </c>
      <c r="O76" s="77"/>
      <c r="P76" s="78"/>
      <c r="Q76" s="78"/>
      <c r="R76" s="90"/>
      <c r="S76" s="49">
        <v>0</v>
      </c>
      <c r="T76" s="49">
        <v>1</v>
      </c>
      <c r="U76" s="50">
        <v>0</v>
      </c>
      <c r="V76" s="50">
        <v>0.228681</v>
      </c>
      <c r="W76" s="51"/>
      <c r="X76" s="51"/>
      <c r="Y76" s="51"/>
      <c r="Z76" s="50"/>
      <c r="AA76" s="73">
        <v>76</v>
      </c>
      <c r="AB76" s="73"/>
      <c r="AC76" s="74"/>
      <c r="AD76" s="81" t="s">
        <v>2482</v>
      </c>
      <c r="AE76" s="81"/>
      <c r="AF76" s="81"/>
      <c r="AG76" s="81"/>
      <c r="AH76" s="81"/>
      <c r="AI76" s="81" t="s">
        <v>1721</v>
      </c>
      <c r="AJ76" s="88">
        <v>44500.006006944444</v>
      </c>
      <c r="AK76" s="86" t="str">
        <f>HYPERLINK("https://yt3.ggpht.com/cZmmBC2iBii4Oz9RPqmjrJPlAKjazhhggP8e5pwygBgEB10uKuZXeprkPViYXXau2AElnXygFQw=s88-c-k-c0x00ffffff-no-rj")</f>
        <v>https://yt3.ggpht.com/cZmmBC2iBii4Oz9RPqmjrJPlAKjazhhggP8e5pwygBgEB10uKuZXeprkPViYXXau2AElnXygFQw=s88-c-k-c0x00ffffff-no-rj</v>
      </c>
      <c r="AL76" s="81">
        <v>0</v>
      </c>
      <c r="AM76" s="81">
        <v>0</v>
      </c>
      <c r="AN76" s="81">
        <v>0</v>
      </c>
      <c r="AO76" s="81" t="b">
        <v>0</v>
      </c>
      <c r="AP76" s="81">
        <v>0</v>
      </c>
      <c r="AQ76" s="81"/>
      <c r="AR76" s="81"/>
      <c r="AS76" s="81" t="s">
        <v>3378</v>
      </c>
      <c r="AT76" s="86" t="str">
        <f>HYPERLINK("https://www.youtube.com/channel/UCkPd8jucn5-zKLzPxIwrQHQ")</f>
        <v>https://www.youtube.com/channel/UCkPd8jucn5-zKLzPxIwrQHQ</v>
      </c>
      <c r="AU76" s="81" t="str">
        <f>REPLACE(INDEX(GroupVertices[Group],MATCH("~"&amp;Vertices[[#This Row],[Vertex]],GroupVertices[Vertex],0)),1,1,"")</f>
        <v>7</v>
      </c>
      <c r="AV76" s="49"/>
      <c r="AW76" s="49"/>
      <c r="AX76" s="49"/>
      <c r="AY76" s="49"/>
      <c r="AZ76" s="49"/>
      <c r="BA76" s="49"/>
      <c r="BB76" s="117" t="s">
        <v>3730</v>
      </c>
      <c r="BC76" s="117" t="s">
        <v>3730</v>
      </c>
      <c r="BD76" s="117" t="s">
        <v>4434</v>
      </c>
      <c r="BE76" s="117" t="s">
        <v>4434</v>
      </c>
      <c r="BF76" s="2"/>
      <c r="BG76" s="3"/>
      <c r="BH76" s="3"/>
      <c r="BI76" s="3"/>
      <c r="BJ76" s="3"/>
    </row>
    <row r="77" spans="1:62" ht="15">
      <c r="A77" s="66" t="s">
        <v>256</v>
      </c>
      <c r="B77" s="67"/>
      <c r="C77" s="67"/>
      <c r="D77" s="68">
        <v>50</v>
      </c>
      <c r="E77" s="70"/>
      <c r="F77" s="105" t="str">
        <f>HYPERLINK("https://yt3.ggpht.com/ytc/AIf8zZSiQzNDE0gIM3pBfm855_V0niMzJ_Mcb-YI9ZvmKQ=s88-c-k-c0x00ffffff-no-rj")</f>
        <v>https://yt3.ggpht.com/ytc/AIf8zZSiQzNDE0gIM3pBfm855_V0niMzJ_Mcb-YI9ZvmKQ=s88-c-k-c0x00ffffff-no-rj</v>
      </c>
      <c r="G77" s="67"/>
      <c r="H77" s="71" t="s">
        <v>2483</v>
      </c>
      <c r="I77" s="72"/>
      <c r="J77" s="72" t="s">
        <v>159</v>
      </c>
      <c r="K77" s="71" t="s">
        <v>2483</v>
      </c>
      <c r="L77" s="75">
        <v>1</v>
      </c>
      <c r="M77" s="76">
        <v>9388.1201171875</v>
      </c>
      <c r="N77" s="76">
        <v>4823.783203125</v>
      </c>
      <c r="O77" s="77"/>
      <c r="P77" s="78"/>
      <c r="Q77" s="78"/>
      <c r="R77" s="90"/>
      <c r="S77" s="49">
        <v>0</v>
      </c>
      <c r="T77" s="49">
        <v>1</v>
      </c>
      <c r="U77" s="50">
        <v>0</v>
      </c>
      <c r="V77" s="50">
        <v>0.228681</v>
      </c>
      <c r="W77" s="51"/>
      <c r="X77" s="51"/>
      <c r="Y77" s="51"/>
      <c r="Z77" s="50"/>
      <c r="AA77" s="73">
        <v>77</v>
      </c>
      <c r="AB77" s="73"/>
      <c r="AC77" s="74"/>
      <c r="AD77" s="81" t="s">
        <v>2483</v>
      </c>
      <c r="AE77" s="81"/>
      <c r="AF77" s="81"/>
      <c r="AG77" s="81"/>
      <c r="AH77" s="81"/>
      <c r="AI77" s="81" t="s">
        <v>1722</v>
      </c>
      <c r="AJ77" s="88">
        <v>42024.45321759259</v>
      </c>
      <c r="AK77" s="86" t="str">
        <f>HYPERLINK("https://yt3.ggpht.com/ytc/AIf8zZSiQzNDE0gIM3pBfm855_V0niMzJ_Mcb-YI9ZvmKQ=s88-c-k-c0x00ffffff-no-rj")</f>
        <v>https://yt3.ggpht.com/ytc/AIf8zZSiQzNDE0gIM3pBfm855_V0niMzJ_Mcb-YI9ZvmKQ=s88-c-k-c0x00ffffff-no-rj</v>
      </c>
      <c r="AL77" s="81">
        <v>0</v>
      </c>
      <c r="AM77" s="81">
        <v>0</v>
      </c>
      <c r="AN77" s="81">
        <v>1</v>
      </c>
      <c r="AO77" s="81" t="b">
        <v>0</v>
      </c>
      <c r="AP77" s="81">
        <v>0</v>
      </c>
      <c r="AQ77" s="81"/>
      <c r="AR77" s="81"/>
      <c r="AS77" s="81" t="s">
        <v>3378</v>
      </c>
      <c r="AT77" s="86" t="str">
        <f>HYPERLINK("https://www.youtube.com/channel/UCfEZ2T9kZNxSaT8kwrdvESA")</f>
        <v>https://www.youtube.com/channel/UCfEZ2T9kZNxSaT8kwrdvESA</v>
      </c>
      <c r="AU77" s="81" t="str">
        <f>REPLACE(INDEX(GroupVertices[Group],MATCH("~"&amp;Vertices[[#This Row],[Vertex]],GroupVertices[Vertex],0)),1,1,"")</f>
        <v>7</v>
      </c>
      <c r="AV77" s="49"/>
      <c r="AW77" s="49"/>
      <c r="AX77" s="49"/>
      <c r="AY77" s="49"/>
      <c r="AZ77" s="49"/>
      <c r="BA77" s="49"/>
      <c r="BB77" s="117" t="s">
        <v>3731</v>
      </c>
      <c r="BC77" s="117" t="s">
        <v>3731</v>
      </c>
      <c r="BD77" s="117" t="s">
        <v>4435</v>
      </c>
      <c r="BE77" s="117" t="s">
        <v>4435</v>
      </c>
      <c r="BF77" s="2"/>
      <c r="BG77" s="3"/>
      <c r="BH77" s="3"/>
      <c r="BI77" s="3"/>
      <c r="BJ77" s="3"/>
    </row>
    <row r="78" spans="1:62" ht="15">
      <c r="A78" s="66" t="s">
        <v>257</v>
      </c>
      <c r="B78" s="67"/>
      <c r="C78" s="67"/>
      <c r="D78" s="68">
        <v>50</v>
      </c>
      <c r="E78" s="70"/>
      <c r="F78" s="105" t="str">
        <f>HYPERLINK("https://yt3.ggpht.com/bn1Y_4Fz6yatVx-MS_ya5-PwdygsKtTic_vs9rLtF-7tANnajly6b-Vo62aJHILCh1N7BMPa=s88-c-k-c0x00ffffff-no-rj")</f>
        <v>https://yt3.ggpht.com/bn1Y_4Fz6yatVx-MS_ya5-PwdygsKtTic_vs9rLtF-7tANnajly6b-Vo62aJHILCh1N7BMPa=s88-c-k-c0x00ffffff-no-rj</v>
      </c>
      <c r="G78" s="67"/>
      <c r="H78" s="71" t="s">
        <v>2484</v>
      </c>
      <c r="I78" s="72"/>
      <c r="J78" s="72" t="s">
        <v>159</v>
      </c>
      <c r="K78" s="71" t="s">
        <v>2484</v>
      </c>
      <c r="L78" s="75">
        <v>1</v>
      </c>
      <c r="M78" s="76">
        <v>8638.2080078125</v>
      </c>
      <c r="N78" s="76">
        <v>1632.499267578125</v>
      </c>
      <c r="O78" s="77"/>
      <c r="P78" s="78"/>
      <c r="Q78" s="78"/>
      <c r="R78" s="90"/>
      <c r="S78" s="49">
        <v>0</v>
      </c>
      <c r="T78" s="49">
        <v>1</v>
      </c>
      <c r="U78" s="50">
        <v>0</v>
      </c>
      <c r="V78" s="50">
        <v>0.228681</v>
      </c>
      <c r="W78" s="51"/>
      <c r="X78" s="51"/>
      <c r="Y78" s="51"/>
      <c r="Z78" s="50"/>
      <c r="AA78" s="73">
        <v>78</v>
      </c>
      <c r="AB78" s="73"/>
      <c r="AC78" s="74"/>
      <c r="AD78" s="81" t="s">
        <v>2484</v>
      </c>
      <c r="AE78" s="81" t="s">
        <v>3136</v>
      </c>
      <c r="AF78" s="81"/>
      <c r="AG78" s="81"/>
      <c r="AH78" s="81"/>
      <c r="AI78" s="81" t="s">
        <v>1723</v>
      </c>
      <c r="AJ78" s="88">
        <v>39155.32017361111</v>
      </c>
      <c r="AK78" s="86" t="str">
        <f>HYPERLINK("https://yt3.ggpht.com/bn1Y_4Fz6yatVx-MS_ya5-PwdygsKtTic_vs9rLtF-7tANnajly6b-Vo62aJHILCh1N7BMPa=s88-c-k-c0x00ffffff-no-rj")</f>
        <v>https://yt3.ggpht.com/bn1Y_4Fz6yatVx-MS_ya5-PwdygsKtTic_vs9rLtF-7tANnajly6b-Vo62aJHILCh1N7BMPa=s88-c-k-c0x00ffffff-no-rj</v>
      </c>
      <c r="AL78" s="81">
        <v>59</v>
      </c>
      <c r="AM78" s="81">
        <v>0</v>
      </c>
      <c r="AN78" s="81">
        <v>4</v>
      </c>
      <c r="AO78" s="81" t="b">
        <v>0</v>
      </c>
      <c r="AP78" s="81">
        <v>1</v>
      </c>
      <c r="AQ78" s="81"/>
      <c r="AR78" s="81"/>
      <c r="AS78" s="81" t="s">
        <v>3378</v>
      </c>
      <c r="AT78" s="86" t="str">
        <f>HYPERLINK("https://www.youtube.com/channel/UCi_Gjw8prQ0L_mZDLnJFqiw")</f>
        <v>https://www.youtube.com/channel/UCi_Gjw8prQ0L_mZDLnJFqiw</v>
      </c>
      <c r="AU78" s="81" t="str">
        <f>REPLACE(INDEX(GroupVertices[Group],MATCH("~"&amp;Vertices[[#This Row],[Vertex]],GroupVertices[Vertex],0)),1,1,"")</f>
        <v>7</v>
      </c>
      <c r="AV78" s="49"/>
      <c r="AW78" s="49"/>
      <c r="AX78" s="49"/>
      <c r="AY78" s="49"/>
      <c r="AZ78" s="49"/>
      <c r="BA78" s="49"/>
      <c r="BB78" s="117" t="s">
        <v>3732</v>
      </c>
      <c r="BC78" s="117" t="s">
        <v>3732</v>
      </c>
      <c r="BD78" s="117" t="s">
        <v>2423</v>
      </c>
      <c r="BE78" s="117" t="s">
        <v>2423</v>
      </c>
      <c r="BF78" s="2"/>
      <c r="BG78" s="3"/>
      <c r="BH78" s="3"/>
      <c r="BI78" s="3"/>
      <c r="BJ78" s="3"/>
    </row>
    <row r="79" spans="1:62" ht="15">
      <c r="A79" s="66" t="s">
        <v>258</v>
      </c>
      <c r="B79" s="67"/>
      <c r="C79" s="67"/>
      <c r="D79" s="68">
        <v>50</v>
      </c>
      <c r="E79" s="70"/>
      <c r="F79" s="105" t="str">
        <f>HYPERLINK("https://yt3.ggpht.com/ytc/AIf8zZTPkvOOeaYnknIxmhgoKax1kt5WLpI9zdfctA=s88-c-k-c0x00ffffff-no-rj")</f>
        <v>https://yt3.ggpht.com/ytc/AIf8zZTPkvOOeaYnknIxmhgoKax1kt5WLpI9zdfctA=s88-c-k-c0x00ffffff-no-rj</v>
      </c>
      <c r="G79" s="67"/>
      <c r="H79" s="71" t="s">
        <v>2485</v>
      </c>
      <c r="I79" s="72"/>
      <c r="J79" s="72" t="s">
        <v>159</v>
      </c>
      <c r="K79" s="71" t="s">
        <v>2485</v>
      </c>
      <c r="L79" s="75">
        <v>1</v>
      </c>
      <c r="M79" s="76">
        <v>9640.8046875</v>
      </c>
      <c r="N79" s="76">
        <v>1826.259033203125</v>
      </c>
      <c r="O79" s="77"/>
      <c r="P79" s="78"/>
      <c r="Q79" s="78"/>
      <c r="R79" s="90"/>
      <c r="S79" s="49">
        <v>0</v>
      </c>
      <c r="T79" s="49">
        <v>1</v>
      </c>
      <c r="U79" s="50">
        <v>0</v>
      </c>
      <c r="V79" s="50">
        <v>0.228681</v>
      </c>
      <c r="W79" s="51"/>
      <c r="X79" s="51"/>
      <c r="Y79" s="51"/>
      <c r="Z79" s="50"/>
      <c r="AA79" s="73">
        <v>79</v>
      </c>
      <c r="AB79" s="73"/>
      <c r="AC79" s="74"/>
      <c r="AD79" s="81" t="s">
        <v>2485</v>
      </c>
      <c r="AE79" s="81"/>
      <c r="AF79" s="81"/>
      <c r="AG79" s="81"/>
      <c r="AH79" s="81"/>
      <c r="AI79" s="81" t="s">
        <v>1724</v>
      </c>
      <c r="AJ79" s="88">
        <v>40818.953877314816</v>
      </c>
      <c r="AK79" s="86" t="str">
        <f>HYPERLINK("https://yt3.ggpht.com/ytc/AIf8zZTPkvOOeaYnknIxmhgoKax1kt5WLpI9zdfctA=s88-c-k-c0x00ffffff-no-rj")</f>
        <v>https://yt3.ggpht.com/ytc/AIf8zZTPkvOOeaYnknIxmhgoKax1kt5WLpI9zdfctA=s88-c-k-c0x00ffffff-no-rj</v>
      </c>
      <c r="AL79" s="81">
        <v>0</v>
      </c>
      <c r="AM79" s="81">
        <v>0</v>
      </c>
      <c r="AN79" s="81">
        <v>7</v>
      </c>
      <c r="AO79" s="81" t="b">
        <v>0</v>
      </c>
      <c r="AP79" s="81">
        <v>0</v>
      </c>
      <c r="AQ79" s="81"/>
      <c r="AR79" s="81"/>
      <c r="AS79" s="81" t="s">
        <v>3378</v>
      </c>
      <c r="AT79" s="86" t="str">
        <f>HYPERLINK("https://www.youtube.com/channel/UCSvECkboYAtQTvv3MW_cxVQ")</f>
        <v>https://www.youtube.com/channel/UCSvECkboYAtQTvv3MW_cxVQ</v>
      </c>
      <c r="AU79" s="81" t="str">
        <f>REPLACE(INDEX(GroupVertices[Group],MATCH("~"&amp;Vertices[[#This Row],[Vertex]],GroupVertices[Vertex],0)),1,1,"")</f>
        <v>7</v>
      </c>
      <c r="AV79" s="49"/>
      <c r="AW79" s="49"/>
      <c r="AX79" s="49"/>
      <c r="AY79" s="49"/>
      <c r="AZ79" s="49"/>
      <c r="BA79" s="49"/>
      <c r="BB79" s="117" t="s">
        <v>3733</v>
      </c>
      <c r="BC79" s="117" t="s">
        <v>3733</v>
      </c>
      <c r="BD79" s="117" t="s">
        <v>4436</v>
      </c>
      <c r="BE79" s="117" t="s">
        <v>4436</v>
      </c>
      <c r="BF79" s="2"/>
      <c r="BG79" s="3"/>
      <c r="BH79" s="3"/>
      <c r="BI79" s="3"/>
      <c r="BJ79" s="3"/>
    </row>
    <row r="80" spans="1:62" ht="15">
      <c r="A80" s="66" t="s">
        <v>259</v>
      </c>
      <c r="B80" s="67"/>
      <c r="C80" s="67"/>
      <c r="D80" s="68">
        <v>50</v>
      </c>
      <c r="E80" s="70"/>
      <c r="F80" s="105" t="str">
        <f>HYPERLINK("https://yt3.ggpht.com/ytc/AIf8zZQ62gIwdrZuTQgCoCbV8Oj5YVv5LqSaRJOeKQ=s88-c-k-c0x00ffffff-no-rj")</f>
        <v>https://yt3.ggpht.com/ytc/AIf8zZQ62gIwdrZuTQgCoCbV8Oj5YVv5LqSaRJOeKQ=s88-c-k-c0x00ffffff-no-rj</v>
      </c>
      <c r="G80" s="67"/>
      <c r="H80" s="71" t="s">
        <v>2486</v>
      </c>
      <c r="I80" s="72"/>
      <c r="J80" s="72" t="s">
        <v>159</v>
      </c>
      <c r="K80" s="71" t="s">
        <v>2486</v>
      </c>
      <c r="L80" s="75">
        <v>1</v>
      </c>
      <c r="M80" s="76">
        <v>9373.7978515625</v>
      </c>
      <c r="N80" s="76">
        <v>3168.6884765625</v>
      </c>
      <c r="O80" s="77"/>
      <c r="P80" s="78"/>
      <c r="Q80" s="78"/>
      <c r="R80" s="90"/>
      <c r="S80" s="49">
        <v>0</v>
      </c>
      <c r="T80" s="49">
        <v>1</v>
      </c>
      <c r="U80" s="50">
        <v>0</v>
      </c>
      <c r="V80" s="50">
        <v>0.228681</v>
      </c>
      <c r="W80" s="51"/>
      <c r="X80" s="51"/>
      <c r="Y80" s="51"/>
      <c r="Z80" s="50"/>
      <c r="AA80" s="73">
        <v>80</v>
      </c>
      <c r="AB80" s="73"/>
      <c r="AC80" s="74"/>
      <c r="AD80" s="81" t="s">
        <v>2486</v>
      </c>
      <c r="AE80" s="81"/>
      <c r="AF80" s="81"/>
      <c r="AG80" s="81"/>
      <c r="AH80" s="81"/>
      <c r="AI80" s="81" t="s">
        <v>1725</v>
      </c>
      <c r="AJ80" s="88">
        <v>42719.15770833333</v>
      </c>
      <c r="AK80" s="86" t="str">
        <f>HYPERLINK("https://yt3.ggpht.com/ytc/AIf8zZQ62gIwdrZuTQgCoCbV8Oj5YVv5LqSaRJOeKQ=s88-c-k-c0x00ffffff-no-rj")</f>
        <v>https://yt3.ggpht.com/ytc/AIf8zZQ62gIwdrZuTQgCoCbV8Oj5YVv5LqSaRJOeKQ=s88-c-k-c0x00ffffff-no-rj</v>
      </c>
      <c r="AL80" s="81">
        <v>0</v>
      </c>
      <c r="AM80" s="81">
        <v>0</v>
      </c>
      <c r="AN80" s="81">
        <v>0</v>
      </c>
      <c r="AO80" s="81" t="b">
        <v>0</v>
      </c>
      <c r="AP80" s="81">
        <v>0</v>
      </c>
      <c r="AQ80" s="81"/>
      <c r="AR80" s="81"/>
      <c r="AS80" s="81" t="s">
        <v>3378</v>
      </c>
      <c r="AT80" s="86" t="str">
        <f>HYPERLINK("https://www.youtube.com/channel/UCZwuPYeQu5eXyRWFmVrmZyA")</f>
        <v>https://www.youtube.com/channel/UCZwuPYeQu5eXyRWFmVrmZyA</v>
      </c>
      <c r="AU80" s="81" t="str">
        <f>REPLACE(INDEX(GroupVertices[Group],MATCH("~"&amp;Vertices[[#This Row],[Vertex]],GroupVertices[Vertex],0)),1,1,"")</f>
        <v>7</v>
      </c>
      <c r="AV80" s="49"/>
      <c r="AW80" s="49"/>
      <c r="AX80" s="49"/>
      <c r="AY80" s="49"/>
      <c r="AZ80" s="49"/>
      <c r="BA80" s="49"/>
      <c r="BB80" s="117" t="s">
        <v>3734</v>
      </c>
      <c r="BC80" s="117" t="s">
        <v>3734</v>
      </c>
      <c r="BD80" s="117" t="s">
        <v>4437</v>
      </c>
      <c r="BE80" s="117" t="s">
        <v>4437</v>
      </c>
      <c r="BF80" s="2"/>
      <c r="BG80" s="3"/>
      <c r="BH80" s="3"/>
      <c r="BI80" s="3"/>
      <c r="BJ80" s="3"/>
    </row>
    <row r="81" spans="1:62" ht="15">
      <c r="A81" s="66" t="s">
        <v>260</v>
      </c>
      <c r="B81" s="67"/>
      <c r="C81" s="67"/>
      <c r="D81" s="68">
        <v>50</v>
      </c>
      <c r="E81" s="70"/>
      <c r="F81" s="105" t="str">
        <f>HYPERLINK("https://yt3.ggpht.com/ytc/AIf8zZTQrwsfUE2Kzr8SguHrba0viyNdFxoQKwN_bg=s88-c-k-c0x00ffffff-no-rj")</f>
        <v>https://yt3.ggpht.com/ytc/AIf8zZTQrwsfUE2Kzr8SguHrba0viyNdFxoQKwN_bg=s88-c-k-c0x00ffffff-no-rj</v>
      </c>
      <c r="G81" s="67"/>
      <c r="H81" s="71" t="s">
        <v>2487</v>
      </c>
      <c r="I81" s="72"/>
      <c r="J81" s="72" t="s">
        <v>159</v>
      </c>
      <c r="K81" s="71" t="s">
        <v>2487</v>
      </c>
      <c r="L81" s="75">
        <v>1</v>
      </c>
      <c r="M81" s="76">
        <v>8511.109375</v>
      </c>
      <c r="N81" s="76">
        <v>2868.562744140625</v>
      </c>
      <c r="O81" s="77"/>
      <c r="P81" s="78"/>
      <c r="Q81" s="78"/>
      <c r="R81" s="90"/>
      <c r="S81" s="49">
        <v>0</v>
      </c>
      <c r="T81" s="49">
        <v>1</v>
      </c>
      <c r="U81" s="50">
        <v>0</v>
      </c>
      <c r="V81" s="50">
        <v>0.228681</v>
      </c>
      <c r="W81" s="51"/>
      <c r="X81" s="51"/>
      <c r="Y81" s="51"/>
      <c r="Z81" s="50"/>
      <c r="AA81" s="73">
        <v>81</v>
      </c>
      <c r="AB81" s="73"/>
      <c r="AC81" s="74"/>
      <c r="AD81" s="81" t="s">
        <v>2487</v>
      </c>
      <c r="AE81" s="81"/>
      <c r="AF81" s="81"/>
      <c r="AG81" s="81"/>
      <c r="AH81" s="81"/>
      <c r="AI81" s="81" t="s">
        <v>1726</v>
      </c>
      <c r="AJ81" s="88">
        <v>40869.0815162037</v>
      </c>
      <c r="AK81" s="86" t="str">
        <f>HYPERLINK("https://yt3.ggpht.com/ytc/AIf8zZTQrwsfUE2Kzr8SguHrba0viyNdFxoQKwN_bg=s88-c-k-c0x00ffffff-no-rj")</f>
        <v>https://yt3.ggpht.com/ytc/AIf8zZTQrwsfUE2Kzr8SguHrba0viyNdFxoQKwN_bg=s88-c-k-c0x00ffffff-no-rj</v>
      </c>
      <c r="AL81" s="81">
        <v>0</v>
      </c>
      <c r="AM81" s="81">
        <v>0</v>
      </c>
      <c r="AN81" s="81">
        <v>0</v>
      </c>
      <c r="AO81" s="81" t="b">
        <v>0</v>
      </c>
      <c r="AP81" s="81">
        <v>0</v>
      </c>
      <c r="AQ81" s="81"/>
      <c r="AR81" s="81"/>
      <c r="AS81" s="81" t="s">
        <v>3378</v>
      </c>
      <c r="AT81" s="86" t="str">
        <f>HYPERLINK("https://www.youtube.com/channel/UCWFT9C9aSZPZ_1lyTGsTMJw")</f>
        <v>https://www.youtube.com/channel/UCWFT9C9aSZPZ_1lyTGsTMJw</v>
      </c>
      <c r="AU81" s="81" t="str">
        <f>REPLACE(INDEX(GroupVertices[Group],MATCH("~"&amp;Vertices[[#This Row],[Vertex]],GroupVertices[Vertex],0)),1,1,"")</f>
        <v>7</v>
      </c>
      <c r="AV81" s="49"/>
      <c r="AW81" s="49"/>
      <c r="AX81" s="49"/>
      <c r="AY81" s="49"/>
      <c r="AZ81" s="49"/>
      <c r="BA81" s="49"/>
      <c r="BB81" s="117" t="s">
        <v>3735</v>
      </c>
      <c r="BC81" s="117" t="s">
        <v>3735</v>
      </c>
      <c r="BD81" s="117" t="s">
        <v>4438</v>
      </c>
      <c r="BE81" s="117" t="s">
        <v>4438</v>
      </c>
      <c r="BF81" s="2"/>
      <c r="BG81" s="3"/>
      <c r="BH81" s="3"/>
      <c r="BI81" s="3"/>
      <c r="BJ81" s="3"/>
    </row>
    <row r="82" spans="1:62" ht="15">
      <c r="A82" s="66" t="s">
        <v>261</v>
      </c>
      <c r="B82" s="67"/>
      <c r="C82" s="67"/>
      <c r="D82" s="68">
        <v>50</v>
      </c>
      <c r="E82" s="70"/>
      <c r="F82" s="105" t="str">
        <f>HYPERLINK("https://yt3.ggpht.com/ytc/AIf8zZR6XYpoQEH95C5zj4OoGNwH1cYYFjMoSSq608rn=s88-c-k-c0x00ffffff-no-rj")</f>
        <v>https://yt3.ggpht.com/ytc/AIf8zZR6XYpoQEH95C5zj4OoGNwH1cYYFjMoSSq608rn=s88-c-k-c0x00ffffff-no-rj</v>
      </c>
      <c r="G82" s="67"/>
      <c r="H82" s="71" t="s">
        <v>2488</v>
      </c>
      <c r="I82" s="72"/>
      <c r="J82" s="72" t="s">
        <v>159</v>
      </c>
      <c r="K82" s="71" t="s">
        <v>2488</v>
      </c>
      <c r="L82" s="75">
        <v>1</v>
      </c>
      <c r="M82" s="76">
        <v>8741.2421875</v>
      </c>
      <c r="N82" s="76">
        <v>2956.102294921875</v>
      </c>
      <c r="O82" s="77"/>
      <c r="P82" s="78"/>
      <c r="Q82" s="78"/>
      <c r="R82" s="90"/>
      <c r="S82" s="49">
        <v>0</v>
      </c>
      <c r="T82" s="49">
        <v>1</v>
      </c>
      <c r="U82" s="50">
        <v>0</v>
      </c>
      <c r="V82" s="50">
        <v>0.228681</v>
      </c>
      <c r="W82" s="51"/>
      <c r="X82" s="51"/>
      <c r="Y82" s="51"/>
      <c r="Z82" s="50"/>
      <c r="AA82" s="73">
        <v>82</v>
      </c>
      <c r="AB82" s="73"/>
      <c r="AC82" s="74"/>
      <c r="AD82" s="81" t="s">
        <v>2488</v>
      </c>
      <c r="AE82" s="81" t="s">
        <v>3137</v>
      </c>
      <c r="AF82" s="81"/>
      <c r="AG82" s="81"/>
      <c r="AH82" s="81"/>
      <c r="AI82" s="81" t="s">
        <v>1727</v>
      </c>
      <c r="AJ82" s="88">
        <v>41011.19635416667</v>
      </c>
      <c r="AK82" s="86" t="str">
        <f>HYPERLINK("https://yt3.ggpht.com/ytc/AIf8zZR6XYpoQEH95C5zj4OoGNwH1cYYFjMoSSq608rn=s88-c-k-c0x00ffffff-no-rj")</f>
        <v>https://yt3.ggpht.com/ytc/AIf8zZR6XYpoQEH95C5zj4OoGNwH1cYYFjMoSSq608rn=s88-c-k-c0x00ffffff-no-rj</v>
      </c>
      <c r="AL82" s="81">
        <v>0</v>
      </c>
      <c r="AM82" s="81">
        <v>0</v>
      </c>
      <c r="AN82" s="81">
        <v>1050</v>
      </c>
      <c r="AO82" s="81" t="b">
        <v>0</v>
      </c>
      <c r="AP82" s="81">
        <v>0</v>
      </c>
      <c r="AQ82" s="81"/>
      <c r="AR82" s="81"/>
      <c r="AS82" s="81" t="s">
        <v>3378</v>
      </c>
      <c r="AT82" s="86" t="str">
        <f>HYPERLINK("https://www.youtube.com/channel/UCiNa7yDepQw78yq27hNkdPw")</f>
        <v>https://www.youtube.com/channel/UCiNa7yDepQw78yq27hNkdPw</v>
      </c>
      <c r="AU82" s="81" t="str">
        <f>REPLACE(INDEX(GroupVertices[Group],MATCH("~"&amp;Vertices[[#This Row],[Vertex]],GroupVertices[Vertex],0)),1,1,"")</f>
        <v>7</v>
      </c>
      <c r="AV82" s="49"/>
      <c r="AW82" s="49"/>
      <c r="AX82" s="49"/>
      <c r="AY82" s="49"/>
      <c r="AZ82" s="49"/>
      <c r="BA82" s="49"/>
      <c r="BB82" s="117" t="s">
        <v>3736</v>
      </c>
      <c r="BC82" s="117" t="s">
        <v>3736</v>
      </c>
      <c r="BD82" s="117" t="s">
        <v>4439</v>
      </c>
      <c r="BE82" s="117" t="s">
        <v>4439</v>
      </c>
      <c r="BF82" s="2"/>
      <c r="BG82" s="3"/>
      <c r="BH82" s="3"/>
      <c r="BI82" s="3"/>
      <c r="BJ82" s="3"/>
    </row>
    <row r="83" spans="1:62" ht="15">
      <c r="A83" s="66" t="s">
        <v>262</v>
      </c>
      <c r="B83" s="67"/>
      <c r="C83" s="67"/>
      <c r="D83" s="68">
        <v>50</v>
      </c>
      <c r="E83" s="70"/>
      <c r="F83" s="105" t="str">
        <f>HYPERLINK("https://yt3.ggpht.com/ytc/AIf8zZRNhEfRJ-8kvHmUzwnhpABzu0dH_FV7-e3gJrSd=s88-c-k-c0x00ffffff-no-rj")</f>
        <v>https://yt3.ggpht.com/ytc/AIf8zZRNhEfRJ-8kvHmUzwnhpABzu0dH_FV7-e3gJrSd=s88-c-k-c0x00ffffff-no-rj</v>
      </c>
      <c r="G83" s="67"/>
      <c r="H83" s="71" t="s">
        <v>2489</v>
      </c>
      <c r="I83" s="72"/>
      <c r="J83" s="72" t="s">
        <v>159</v>
      </c>
      <c r="K83" s="71" t="s">
        <v>2489</v>
      </c>
      <c r="L83" s="75">
        <v>1</v>
      </c>
      <c r="M83" s="76">
        <v>9786.5439453125</v>
      </c>
      <c r="N83" s="76">
        <v>1876.693603515625</v>
      </c>
      <c r="O83" s="77"/>
      <c r="P83" s="78"/>
      <c r="Q83" s="78"/>
      <c r="R83" s="90"/>
      <c r="S83" s="49">
        <v>0</v>
      </c>
      <c r="T83" s="49">
        <v>1</v>
      </c>
      <c r="U83" s="50">
        <v>0</v>
      </c>
      <c r="V83" s="50">
        <v>0.228681</v>
      </c>
      <c r="W83" s="51"/>
      <c r="X83" s="51"/>
      <c r="Y83" s="51"/>
      <c r="Z83" s="50"/>
      <c r="AA83" s="73">
        <v>83</v>
      </c>
      <c r="AB83" s="73"/>
      <c r="AC83" s="74"/>
      <c r="AD83" s="81" t="s">
        <v>2489</v>
      </c>
      <c r="AE83" s="81" t="s">
        <v>3138</v>
      </c>
      <c r="AF83" s="81"/>
      <c r="AG83" s="81"/>
      <c r="AH83" s="81"/>
      <c r="AI83" s="81" t="s">
        <v>1728</v>
      </c>
      <c r="AJ83" s="88">
        <v>39549.100011574075</v>
      </c>
      <c r="AK83" s="86" t="str">
        <f>HYPERLINK("https://yt3.ggpht.com/ytc/AIf8zZRNhEfRJ-8kvHmUzwnhpABzu0dH_FV7-e3gJrSd=s88-c-k-c0x00ffffff-no-rj")</f>
        <v>https://yt3.ggpht.com/ytc/AIf8zZRNhEfRJ-8kvHmUzwnhpABzu0dH_FV7-e3gJrSd=s88-c-k-c0x00ffffff-no-rj</v>
      </c>
      <c r="AL83" s="81">
        <v>327616</v>
      </c>
      <c r="AM83" s="81">
        <v>0</v>
      </c>
      <c r="AN83" s="81">
        <v>1100</v>
      </c>
      <c r="AO83" s="81" t="b">
        <v>0</v>
      </c>
      <c r="AP83" s="81">
        <v>13</v>
      </c>
      <c r="AQ83" s="81"/>
      <c r="AR83" s="81"/>
      <c r="AS83" s="81" t="s">
        <v>3378</v>
      </c>
      <c r="AT83" s="86" t="str">
        <f>HYPERLINK("https://www.youtube.com/channel/UCHz7xvmc0e2lRryCV7RSoIw")</f>
        <v>https://www.youtube.com/channel/UCHz7xvmc0e2lRryCV7RSoIw</v>
      </c>
      <c r="AU83" s="81" t="str">
        <f>REPLACE(INDEX(GroupVertices[Group],MATCH("~"&amp;Vertices[[#This Row],[Vertex]],GroupVertices[Vertex],0)),1,1,"")</f>
        <v>7</v>
      </c>
      <c r="AV83" s="49"/>
      <c r="AW83" s="49"/>
      <c r="AX83" s="49"/>
      <c r="AY83" s="49"/>
      <c r="AZ83" s="49"/>
      <c r="BA83" s="49"/>
      <c r="BB83" s="117" t="s">
        <v>3737</v>
      </c>
      <c r="BC83" s="117" t="s">
        <v>3737</v>
      </c>
      <c r="BD83" s="117" t="s">
        <v>4440</v>
      </c>
      <c r="BE83" s="117" t="s">
        <v>4440</v>
      </c>
      <c r="BF83" s="2"/>
      <c r="BG83" s="3"/>
      <c r="BH83" s="3"/>
      <c r="BI83" s="3"/>
      <c r="BJ83" s="3"/>
    </row>
    <row r="84" spans="1:62" ht="15">
      <c r="A84" s="66" t="s">
        <v>263</v>
      </c>
      <c r="B84" s="67"/>
      <c r="C84" s="67"/>
      <c r="D84" s="68">
        <v>50</v>
      </c>
      <c r="E84" s="70"/>
      <c r="F84" s="105" t="str">
        <f>HYPERLINK("https://yt3.ggpht.com/ytc/AIf8zZS7m-eUOp_szE-7A0JcEgugSSwYGpiOpRmLcyo=s88-c-k-c0x00ffffff-no-rj")</f>
        <v>https://yt3.ggpht.com/ytc/AIf8zZS7m-eUOp_szE-7A0JcEgugSSwYGpiOpRmLcyo=s88-c-k-c0x00ffffff-no-rj</v>
      </c>
      <c r="G84" s="67"/>
      <c r="H84" s="71" t="s">
        <v>2490</v>
      </c>
      <c r="I84" s="72"/>
      <c r="J84" s="72" t="s">
        <v>159</v>
      </c>
      <c r="K84" s="71" t="s">
        <v>2490</v>
      </c>
      <c r="L84" s="75">
        <v>1</v>
      </c>
      <c r="M84" s="76">
        <v>9767.36328125</v>
      </c>
      <c r="N84" s="76">
        <v>3837.866455078125</v>
      </c>
      <c r="O84" s="77"/>
      <c r="P84" s="78"/>
      <c r="Q84" s="78"/>
      <c r="R84" s="90"/>
      <c r="S84" s="49">
        <v>0</v>
      </c>
      <c r="T84" s="49">
        <v>1</v>
      </c>
      <c r="U84" s="50">
        <v>0</v>
      </c>
      <c r="V84" s="50">
        <v>0.228681</v>
      </c>
      <c r="W84" s="51"/>
      <c r="X84" s="51"/>
      <c r="Y84" s="51"/>
      <c r="Z84" s="50"/>
      <c r="AA84" s="73">
        <v>84</v>
      </c>
      <c r="AB84" s="73"/>
      <c r="AC84" s="74"/>
      <c r="AD84" s="81" t="s">
        <v>2490</v>
      </c>
      <c r="AE84" s="81"/>
      <c r="AF84" s="81"/>
      <c r="AG84" s="81"/>
      <c r="AH84" s="81"/>
      <c r="AI84" s="81" t="s">
        <v>1729</v>
      </c>
      <c r="AJ84" s="88">
        <v>40933.362291666665</v>
      </c>
      <c r="AK84" s="86" t="str">
        <f>HYPERLINK("https://yt3.ggpht.com/ytc/AIf8zZS7m-eUOp_szE-7A0JcEgugSSwYGpiOpRmLcyo=s88-c-k-c0x00ffffff-no-rj")</f>
        <v>https://yt3.ggpht.com/ytc/AIf8zZS7m-eUOp_szE-7A0JcEgugSSwYGpiOpRmLcyo=s88-c-k-c0x00ffffff-no-rj</v>
      </c>
      <c r="AL84" s="81">
        <v>0</v>
      </c>
      <c r="AM84" s="81">
        <v>0</v>
      </c>
      <c r="AN84" s="81">
        <v>0</v>
      </c>
      <c r="AO84" s="81" t="b">
        <v>0</v>
      </c>
      <c r="AP84" s="81">
        <v>0</v>
      </c>
      <c r="AQ84" s="81"/>
      <c r="AR84" s="81"/>
      <c r="AS84" s="81" t="s">
        <v>3378</v>
      </c>
      <c r="AT84" s="86" t="str">
        <f>HYPERLINK("https://www.youtube.com/channel/UCbZmyPbbhbj_CWJ0pTqqBiQ")</f>
        <v>https://www.youtube.com/channel/UCbZmyPbbhbj_CWJ0pTqqBiQ</v>
      </c>
      <c r="AU84" s="81" t="str">
        <f>REPLACE(INDEX(GroupVertices[Group],MATCH("~"&amp;Vertices[[#This Row],[Vertex]],GroupVertices[Vertex],0)),1,1,"")</f>
        <v>7</v>
      </c>
      <c r="AV84" s="49"/>
      <c r="AW84" s="49"/>
      <c r="AX84" s="49"/>
      <c r="AY84" s="49"/>
      <c r="AZ84" s="49"/>
      <c r="BA84" s="49"/>
      <c r="BB84" s="117" t="s">
        <v>3738</v>
      </c>
      <c r="BC84" s="117" t="s">
        <v>3738</v>
      </c>
      <c r="BD84" s="117" t="s">
        <v>4441</v>
      </c>
      <c r="BE84" s="117" t="s">
        <v>4441</v>
      </c>
      <c r="BF84" s="2"/>
      <c r="BG84" s="3"/>
      <c r="BH84" s="3"/>
      <c r="BI84" s="3"/>
      <c r="BJ84" s="3"/>
    </row>
    <row r="85" spans="1:62" ht="15">
      <c r="A85" s="66" t="s">
        <v>264</v>
      </c>
      <c r="B85" s="67"/>
      <c r="C85" s="67"/>
      <c r="D85" s="68">
        <v>50</v>
      </c>
      <c r="E85" s="70"/>
      <c r="F85" s="105" t="str">
        <f>HYPERLINK("https://yt3.ggpht.com/ytc/AIf8zZRHldQTn5iJ_9Bc9xbWKSpQB1ElPyzf-mVPHO5G6g=s88-c-k-c0x00ffffff-no-rj")</f>
        <v>https://yt3.ggpht.com/ytc/AIf8zZRHldQTn5iJ_9Bc9xbWKSpQB1ElPyzf-mVPHO5G6g=s88-c-k-c0x00ffffff-no-rj</v>
      </c>
      <c r="G85" s="67"/>
      <c r="H85" s="71" t="s">
        <v>2491</v>
      </c>
      <c r="I85" s="72"/>
      <c r="J85" s="72" t="s">
        <v>159</v>
      </c>
      <c r="K85" s="71" t="s">
        <v>2491</v>
      </c>
      <c r="L85" s="75">
        <v>1</v>
      </c>
      <c r="M85" s="76">
        <v>9439.0771484375</v>
      </c>
      <c r="N85" s="76">
        <v>472.51373291015625</v>
      </c>
      <c r="O85" s="77"/>
      <c r="P85" s="78"/>
      <c r="Q85" s="78"/>
      <c r="R85" s="90"/>
      <c r="S85" s="49">
        <v>0</v>
      </c>
      <c r="T85" s="49">
        <v>1</v>
      </c>
      <c r="U85" s="50">
        <v>0</v>
      </c>
      <c r="V85" s="50">
        <v>0.001913</v>
      </c>
      <c r="W85" s="51"/>
      <c r="X85" s="51"/>
      <c r="Y85" s="51"/>
      <c r="Z85" s="50"/>
      <c r="AA85" s="73">
        <v>85</v>
      </c>
      <c r="AB85" s="73"/>
      <c r="AC85" s="74"/>
      <c r="AD85" s="81" t="s">
        <v>2491</v>
      </c>
      <c r="AE85" s="81"/>
      <c r="AF85" s="81"/>
      <c r="AG85" s="81"/>
      <c r="AH85" s="81"/>
      <c r="AI85" s="81" t="s">
        <v>3239</v>
      </c>
      <c r="AJ85" s="88">
        <v>41510.9594212963</v>
      </c>
      <c r="AK85" s="86" t="str">
        <f>HYPERLINK("https://yt3.ggpht.com/ytc/AIf8zZRHldQTn5iJ_9Bc9xbWKSpQB1ElPyzf-mVPHO5G6g=s88-c-k-c0x00ffffff-no-rj")</f>
        <v>https://yt3.ggpht.com/ytc/AIf8zZRHldQTn5iJ_9Bc9xbWKSpQB1ElPyzf-mVPHO5G6g=s88-c-k-c0x00ffffff-no-rj</v>
      </c>
      <c r="AL85" s="81">
        <v>460</v>
      </c>
      <c r="AM85" s="81">
        <v>0</v>
      </c>
      <c r="AN85" s="81">
        <v>0</v>
      </c>
      <c r="AO85" s="81" t="b">
        <v>0</v>
      </c>
      <c r="AP85" s="81">
        <v>1</v>
      </c>
      <c r="AQ85" s="81"/>
      <c r="AR85" s="81"/>
      <c r="AS85" s="81" t="s">
        <v>3378</v>
      </c>
      <c r="AT85" s="86" t="str">
        <f>HYPERLINK("https://www.youtube.com/channel/UCogxbeiFyaHMpptIijqbpdg")</f>
        <v>https://www.youtube.com/channel/UCogxbeiFyaHMpptIijqbpdg</v>
      </c>
      <c r="AU85" s="81" t="str">
        <f>REPLACE(INDEX(GroupVertices[Group],MATCH("~"&amp;Vertices[[#This Row],[Vertex]],GroupVertices[Vertex],0)),1,1,"")</f>
        <v>9</v>
      </c>
      <c r="AV85" s="49"/>
      <c r="AW85" s="49"/>
      <c r="AX85" s="49"/>
      <c r="AY85" s="49"/>
      <c r="AZ85" s="49"/>
      <c r="BA85" s="49"/>
      <c r="BB85" s="117" t="s">
        <v>3739</v>
      </c>
      <c r="BC85" s="117" t="s">
        <v>3739</v>
      </c>
      <c r="BD85" s="117" t="s">
        <v>4442</v>
      </c>
      <c r="BE85" s="117" t="s">
        <v>4442</v>
      </c>
      <c r="BF85" s="2"/>
      <c r="BG85" s="3"/>
      <c r="BH85" s="3"/>
      <c r="BI85" s="3"/>
      <c r="BJ85" s="3"/>
    </row>
    <row r="86" spans="1:62" ht="15">
      <c r="A86" s="66" t="s">
        <v>265</v>
      </c>
      <c r="B86" s="67"/>
      <c r="C86" s="67"/>
      <c r="D86" s="68">
        <v>50</v>
      </c>
      <c r="E86" s="70"/>
      <c r="F86" s="105" t="str">
        <f>HYPERLINK("https://yt3.ggpht.com/ytc/AIf8zZRiwHFxIvRtzBflmYtRnPVxYIbF9jMnReErCGhI2g=s88-c-k-c0x00ffffff-no-rj")</f>
        <v>https://yt3.ggpht.com/ytc/AIf8zZRiwHFxIvRtzBflmYtRnPVxYIbF9jMnReErCGhI2g=s88-c-k-c0x00ffffff-no-rj</v>
      </c>
      <c r="G86" s="67"/>
      <c r="H86" s="71" t="s">
        <v>2493</v>
      </c>
      <c r="I86" s="72"/>
      <c r="J86" s="72" t="s">
        <v>159</v>
      </c>
      <c r="K86" s="71" t="s">
        <v>2493</v>
      </c>
      <c r="L86" s="75">
        <v>1</v>
      </c>
      <c r="M86" s="76">
        <v>9741.5947265625</v>
      </c>
      <c r="N86" s="76">
        <v>472.51373291015625</v>
      </c>
      <c r="O86" s="77"/>
      <c r="P86" s="78"/>
      <c r="Q86" s="78"/>
      <c r="R86" s="90"/>
      <c r="S86" s="49">
        <v>0</v>
      </c>
      <c r="T86" s="49">
        <v>1</v>
      </c>
      <c r="U86" s="50">
        <v>0</v>
      </c>
      <c r="V86" s="50">
        <v>0.001913</v>
      </c>
      <c r="W86" s="51"/>
      <c r="X86" s="51"/>
      <c r="Y86" s="51"/>
      <c r="Z86" s="50"/>
      <c r="AA86" s="73">
        <v>86</v>
      </c>
      <c r="AB86" s="73"/>
      <c r="AC86" s="74"/>
      <c r="AD86" s="81" t="s">
        <v>2493</v>
      </c>
      <c r="AE86" s="81"/>
      <c r="AF86" s="81"/>
      <c r="AG86" s="81"/>
      <c r="AH86" s="81"/>
      <c r="AI86" s="81" t="s">
        <v>1731</v>
      </c>
      <c r="AJ86" s="88">
        <v>41190.971400462964</v>
      </c>
      <c r="AK86" s="86" t="str">
        <f>HYPERLINK("https://yt3.ggpht.com/ytc/AIf8zZRiwHFxIvRtzBflmYtRnPVxYIbF9jMnReErCGhI2g=s88-c-k-c0x00ffffff-no-rj")</f>
        <v>https://yt3.ggpht.com/ytc/AIf8zZRiwHFxIvRtzBflmYtRnPVxYIbF9jMnReErCGhI2g=s88-c-k-c0x00ffffff-no-rj</v>
      </c>
      <c r="AL86" s="81">
        <v>0</v>
      </c>
      <c r="AM86" s="81">
        <v>0</v>
      </c>
      <c r="AN86" s="81">
        <v>72</v>
      </c>
      <c r="AO86" s="81" t="b">
        <v>0</v>
      </c>
      <c r="AP86" s="81">
        <v>0</v>
      </c>
      <c r="AQ86" s="81"/>
      <c r="AR86" s="81"/>
      <c r="AS86" s="81" t="s">
        <v>3378</v>
      </c>
      <c r="AT86" s="86" t="str">
        <f>HYPERLINK("https://www.youtube.com/channel/UCBPu2lZKL7DrHPfsIKfJakA")</f>
        <v>https://www.youtube.com/channel/UCBPu2lZKL7DrHPfsIKfJakA</v>
      </c>
      <c r="AU86" s="81" t="str">
        <f>REPLACE(INDEX(GroupVertices[Group],MATCH("~"&amp;Vertices[[#This Row],[Vertex]],GroupVertices[Vertex],0)),1,1,"")</f>
        <v>9</v>
      </c>
      <c r="AV86" s="49"/>
      <c r="AW86" s="49"/>
      <c r="AX86" s="49"/>
      <c r="AY86" s="49"/>
      <c r="AZ86" s="49"/>
      <c r="BA86" s="49"/>
      <c r="BB86" s="117" t="s">
        <v>3740</v>
      </c>
      <c r="BC86" s="117" t="s">
        <v>3740</v>
      </c>
      <c r="BD86" s="117" t="s">
        <v>4443</v>
      </c>
      <c r="BE86" s="117" t="s">
        <v>4443</v>
      </c>
      <c r="BF86" s="2"/>
      <c r="BG86" s="3"/>
      <c r="BH86" s="3"/>
      <c r="BI86" s="3"/>
      <c r="BJ86" s="3"/>
    </row>
    <row r="87" spans="1:62" ht="15">
      <c r="A87" s="66" t="s">
        <v>266</v>
      </c>
      <c r="B87" s="67"/>
      <c r="C87" s="67"/>
      <c r="D87" s="68">
        <v>50</v>
      </c>
      <c r="E87" s="70"/>
      <c r="F87" s="105" t="str">
        <f>HYPERLINK("https://yt3.ggpht.com/ytc/AIf8zZQfc-COBh9W8bCIeICzzmoMfXH1WWNQDI31hsvx=s88-c-k-c0x00ffffff-no-rj")</f>
        <v>https://yt3.ggpht.com/ytc/AIf8zZQfc-COBh9W8bCIeICzzmoMfXH1WWNQDI31hsvx=s88-c-k-c0x00ffffff-no-rj</v>
      </c>
      <c r="G87" s="67"/>
      <c r="H87" s="71" t="s">
        <v>2494</v>
      </c>
      <c r="I87" s="72"/>
      <c r="J87" s="72" t="s">
        <v>159</v>
      </c>
      <c r="K87" s="71" t="s">
        <v>2494</v>
      </c>
      <c r="L87" s="75">
        <v>1</v>
      </c>
      <c r="M87" s="76">
        <v>4715.400390625</v>
      </c>
      <c r="N87" s="76">
        <v>4675.8740234375</v>
      </c>
      <c r="O87" s="77"/>
      <c r="P87" s="78"/>
      <c r="Q87" s="78"/>
      <c r="R87" s="90"/>
      <c r="S87" s="49">
        <v>0</v>
      </c>
      <c r="T87" s="49">
        <v>1</v>
      </c>
      <c r="U87" s="50">
        <v>0</v>
      </c>
      <c r="V87" s="50">
        <v>0.255736</v>
      </c>
      <c r="W87" s="51"/>
      <c r="X87" s="51"/>
      <c r="Y87" s="51"/>
      <c r="Z87" s="50"/>
      <c r="AA87" s="73">
        <v>87</v>
      </c>
      <c r="AB87" s="73"/>
      <c r="AC87" s="74"/>
      <c r="AD87" s="81" t="s">
        <v>2494</v>
      </c>
      <c r="AE87" s="81"/>
      <c r="AF87" s="81"/>
      <c r="AG87" s="81"/>
      <c r="AH87" s="81"/>
      <c r="AI87" s="81" t="s">
        <v>1732</v>
      </c>
      <c r="AJ87" s="88">
        <v>42594.20648148148</v>
      </c>
      <c r="AK87" s="86" t="str">
        <f>HYPERLINK("https://yt3.ggpht.com/ytc/AIf8zZQfc-COBh9W8bCIeICzzmoMfXH1WWNQDI31hsvx=s88-c-k-c0x00ffffff-no-rj")</f>
        <v>https://yt3.ggpht.com/ytc/AIf8zZQfc-COBh9W8bCIeICzzmoMfXH1WWNQDI31hsvx=s88-c-k-c0x00ffffff-no-rj</v>
      </c>
      <c r="AL87" s="81">
        <v>0</v>
      </c>
      <c r="AM87" s="81">
        <v>0</v>
      </c>
      <c r="AN87" s="81">
        <v>1</v>
      </c>
      <c r="AO87" s="81" t="b">
        <v>0</v>
      </c>
      <c r="AP87" s="81">
        <v>0</v>
      </c>
      <c r="AQ87" s="81"/>
      <c r="AR87" s="81"/>
      <c r="AS87" s="81" t="s">
        <v>3378</v>
      </c>
      <c r="AT87" s="86" t="str">
        <f>HYPERLINK("https://www.youtube.com/channel/UClzRHz4TVukcAYyYvaL0jTA")</f>
        <v>https://www.youtube.com/channel/UClzRHz4TVukcAYyYvaL0jTA</v>
      </c>
      <c r="AU87" s="81" t="str">
        <f>REPLACE(INDEX(GroupVertices[Group],MATCH("~"&amp;Vertices[[#This Row],[Vertex]],GroupVertices[Vertex],0)),1,1,"")</f>
        <v>6</v>
      </c>
      <c r="AV87" s="49"/>
      <c r="AW87" s="49"/>
      <c r="AX87" s="49"/>
      <c r="AY87" s="49"/>
      <c r="AZ87" s="49"/>
      <c r="BA87" s="49"/>
      <c r="BB87" s="117" t="s">
        <v>3741</v>
      </c>
      <c r="BC87" s="117" t="s">
        <v>3741</v>
      </c>
      <c r="BD87" s="117" t="s">
        <v>4444</v>
      </c>
      <c r="BE87" s="117" t="s">
        <v>4444</v>
      </c>
      <c r="BF87" s="2"/>
      <c r="BG87" s="3"/>
      <c r="BH87" s="3"/>
      <c r="BI87" s="3"/>
      <c r="BJ87" s="3"/>
    </row>
    <row r="88" spans="1:62" ht="15">
      <c r="A88" s="66" t="s">
        <v>267</v>
      </c>
      <c r="B88" s="67"/>
      <c r="C88" s="67"/>
      <c r="D88" s="68">
        <v>50</v>
      </c>
      <c r="E88" s="70"/>
      <c r="F88" s="105" t="str">
        <f>HYPERLINK("https://yt3.ggpht.com/ytc/AIf8zZQTTpADjuUKvXXI5MqZsVcOPeksri1pZohbuBmu=s88-c-k-c0x00ffffff-no-rj")</f>
        <v>https://yt3.ggpht.com/ytc/AIf8zZQTTpADjuUKvXXI5MqZsVcOPeksri1pZohbuBmu=s88-c-k-c0x00ffffff-no-rj</v>
      </c>
      <c r="G88" s="67"/>
      <c r="H88" s="71" t="s">
        <v>2496</v>
      </c>
      <c r="I88" s="72"/>
      <c r="J88" s="72" t="s">
        <v>159</v>
      </c>
      <c r="K88" s="71" t="s">
        <v>2496</v>
      </c>
      <c r="L88" s="75">
        <v>1</v>
      </c>
      <c r="M88" s="76">
        <v>4731.4375</v>
      </c>
      <c r="N88" s="76">
        <v>5574.14599609375</v>
      </c>
      <c r="O88" s="77"/>
      <c r="P88" s="78"/>
      <c r="Q88" s="78"/>
      <c r="R88" s="90"/>
      <c r="S88" s="49">
        <v>0</v>
      </c>
      <c r="T88" s="49">
        <v>1</v>
      </c>
      <c r="U88" s="50">
        <v>0</v>
      </c>
      <c r="V88" s="50">
        <v>0.255736</v>
      </c>
      <c r="W88" s="51"/>
      <c r="X88" s="51"/>
      <c r="Y88" s="51"/>
      <c r="Z88" s="50"/>
      <c r="AA88" s="73">
        <v>88</v>
      </c>
      <c r="AB88" s="73"/>
      <c r="AC88" s="74"/>
      <c r="AD88" s="81" t="s">
        <v>2496</v>
      </c>
      <c r="AE88" s="81"/>
      <c r="AF88" s="81"/>
      <c r="AG88" s="81"/>
      <c r="AH88" s="81"/>
      <c r="AI88" s="81" t="s">
        <v>1733</v>
      </c>
      <c r="AJ88" s="88">
        <v>41327.80542824074</v>
      </c>
      <c r="AK88" s="86" t="str">
        <f>HYPERLINK("https://yt3.ggpht.com/ytc/AIf8zZQTTpADjuUKvXXI5MqZsVcOPeksri1pZohbuBmu=s88-c-k-c0x00ffffff-no-rj")</f>
        <v>https://yt3.ggpht.com/ytc/AIf8zZQTTpADjuUKvXXI5MqZsVcOPeksri1pZohbuBmu=s88-c-k-c0x00ffffff-no-rj</v>
      </c>
      <c r="AL88" s="81">
        <v>0</v>
      </c>
      <c r="AM88" s="81">
        <v>0</v>
      </c>
      <c r="AN88" s="81">
        <v>0</v>
      </c>
      <c r="AO88" s="81" t="b">
        <v>0</v>
      </c>
      <c r="AP88" s="81">
        <v>0</v>
      </c>
      <c r="AQ88" s="81"/>
      <c r="AR88" s="81"/>
      <c r="AS88" s="81" t="s">
        <v>3378</v>
      </c>
      <c r="AT88" s="86" t="str">
        <f>HYPERLINK("https://www.youtube.com/channel/UCRush-ISVwWdtDCdsH2y4UA")</f>
        <v>https://www.youtube.com/channel/UCRush-ISVwWdtDCdsH2y4UA</v>
      </c>
      <c r="AU88" s="81" t="str">
        <f>REPLACE(INDEX(GroupVertices[Group],MATCH("~"&amp;Vertices[[#This Row],[Vertex]],GroupVertices[Vertex],0)),1,1,"")</f>
        <v>6</v>
      </c>
      <c r="AV88" s="49"/>
      <c r="AW88" s="49"/>
      <c r="AX88" s="49"/>
      <c r="AY88" s="49"/>
      <c r="AZ88" s="49"/>
      <c r="BA88" s="49"/>
      <c r="BB88" s="117" t="s">
        <v>3742</v>
      </c>
      <c r="BC88" s="117" t="s">
        <v>3742</v>
      </c>
      <c r="BD88" s="117" t="s">
        <v>4445</v>
      </c>
      <c r="BE88" s="117" t="s">
        <v>4445</v>
      </c>
      <c r="BF88" s="2"/>
      <c r="BG88" s="3"/>
      <c r="BH88" s="3"/>
      <c r="BI88" s="3"/>
      <c r="BJ88" s="3"/>
    </row>
    <row r="89" spans="1:62" ht="15">
      <c r="A89" s="66" t="s">
        <v>268</v>
      </c>
      <c r="B89" s="67"/>
      <c r="C89" s="67"/>
      <c r="D89" s="68">
        <v>50</v>
      </c>
      <c r="E89" s="70"/>
      <c r="F89" s="105" t="str">
        <f>HYPERLINK("https://yt3.ggpht.com/atdSM-LxcnMD7N5tTCcl_PSSqv4bPEzzSMHWZuqGD7wL2NfBWGhy_hoMmY8tstY473A28xZRJA=s88-c-k-c0x00ffffff-no-rj")</f>
        <v>https://yt3.ggpht.com/atdSM-LxcnMD7N5tTCcl_PSSqv4bPEzzSMHWZuqGD7wL2NfBWGhy_hoMmY8tstY473A28xZRJA=s88-c-k-c0x00ffffff-no-rj</v>
      </c>
      <c r="G89" s="67"/>
      <c r="H89" s="71" t="s">
        <v>2497</v>
      </c>
      <c r="I89" s="72"/>
      <c r="J89" s="72" t="s">
        <v>159</v>
      </c>
      <c r="K89" s="71" t="s">
        <v>2497</v>
      </c>
      <c r="L89" s="75">
        <v>1</v>
      </c>
      <c r="M89" s="76">
        <v>5284.3740234375</v>
      </c>
      <c r="N89" s="76">
        <v>4628.3076171875</v>
      </c>
      <c r="O89" s="77"/>
      <c r="P89" s="78"/>
      <c r="Q89" s="78"/>
      <c r="R89" s="90"/>
      <c r="S89" s="49">
        <v>0</v>
      </c>
      <c r="T89" s="49">
        <v>1</v>
      </c>
      <c r="U89" s="50">
        <v>0</v>
      </c>
      <c r="V89" s="50">
        <v>0.255736</v>
      </c>
      <c r="W89" s="51"/>
      <c r="X89" s="51"/>
      <c r="Y89" s="51"/>
      <c r="Z89" s="50"/>
      <c r="AA89" s="73">
        <v>89</v>
      </c>
      <c r="AB89" s="73"/>
      <c r="AC89" s="74"/>
      <c r="AD89" s="81" t="s">
        <v>2497</v>
      </c>
      <c r="AE89" s="81" t="s">
        <v>3141</v>
      </c>
      <c r="AF89" s="81"/>
      <c r="AG89" s="81"/>
      <c r="AH89" s="81"/>
      <c r="AI89" s="81" t="s">
        <v>3242</v>
      </c>
      <c r="AJ89" s="88">
        <v>41525.57356481482</v>
      </c>
      <c r="AK89" s="86" t="str">
        <f>HYPERLINK("https://yt3.ggpht.com/atdSM-LxcnMD7N5tTCcl_PSSqv4bPEzzSMHWZuqGD7wL2NfBWGhy_hoMmY8tstY473A28xZRJA=s88-c-k-c0x00ffffff-no-rj")</f>
        <v>https://yt3.ggpht.com/atdSM-LxcnMD7N5tTCcl_PSSqv4bPEzzSMHWZuqGD7wL2NfBWGhy_hoMmY8tstY473A28xZRJA=s88-c-k-c0x00ffffff-no-rj</v>
      </c>
      <c r="AL89" s="81">
        <v>22</v>
      </c>
      <c r="AM89" s="81">
        <v>0</v>
      </c>
      <c r="AN89" s="81">
        <v>2</v>
      </c>
      <c r="AO89" s="81" t="b">
        <v>0</v>
      </c>
      <c r="AP89" s="81">
        <v>1</v>
      </c>
      <c r="AQ89" s="81"/>
      <c r="AR89" s="81"/>
      <c r="AS89" s="81" t="s">
        <v>3378</v>
      </c>
      <c r="AT89" s="86" t="str">
        <f>HYPERLINK("https://www.youtube.com/channel/UC2bUDIMGYGfJkz7BuC6lBUA")</f>
        <v>https://www.youtube.com/channel/UC2bUDIMGYGfJkz7BuC6lBUA</v>
      </c>
      <c r="AU89" s="81" t="str">
        <f>REPLACE(INDEX(GroupVertices[Group],MATCH("~"&amp;Vertices[[#This Row],[Vertex]],GroupVertices[Vertex],0)),1,1,"")</f>
        <v>6</v>
      </c>
      <c r="AV89" s="49"/>
      <c r="AW89" s="49"/>
      <c r="AX89" s="49"/>
      <c r="AY89" s="49"/>
      <c r="AZ89" s="49"/>
      <c r="BA89" s="49"/>
      <c r="BB89" s="117" t="s">
        <v>3743</v>
      </c>
      <c r="BC89" s="117" t="s">
        <v>3743</v>
      </c>
      <c r="BD89" s="117" t="s">
        <v>4446</v>
      </c>
      <c r="BE89" s="117" t="s">
        <v>4446</v>
      </c>
      <c r="BF89" s="2"/>
      <c r="BG89" s="3"/>
      <c r="BH89" s="3"/>
      <c r="BI89" s="3"/>
      <c r="BJ89" s="3"/>
    </row>
    <row r="90" spans="1:62" ht="15">
      <c r="A90" s="66" t="s">
        <v>269</v>
      </c>
      <c r="B90" s="67"/>
      <c r="C90" s="67"/>
      <c r="D90" s="68">
        <v>50</v>
      </c>
      <c r="E90" s="70"/>
      <c r="F90" s="105" t="str">
        <f>HYPERLINK("https://yt3.ggpht.com/ytc/AIf8zZRrsHfTyM7KF5QEbOkazvYGU3v74eRqHL091NWawoRyf49qsh2EGOzX38EuwRxHtQ=s88-c-k-c0x00ffffff-no-rj")</f>
        <v>https://yt3.ggpht.com/ytc/AIf8zZRrsHfTyM7KF5QEbOkazvYGU3v74eRqHL091NWawoRyf49qsh2EGOzX38EuwRxHtQ=s88-c-k-c0x00ffffff-no-rj</v>
      </c>
      <c r="G90" s="67"/>
      <c r="H90" s="71" t="s">
        <v>2498</v>
      </c>
      <c r="I90" s="72"/>
      <c r="J90" s="72" t="s">
        <v>159</v>
      </c>
      <c r="K90" s="71" t="s">
        <v>2498</v>
      </c>
      <c r="L90" s="75">
        <v>1</v>
      </c>
      <c r="M90" s="76">
        <v>5708.67724609375</v>
      </c>
      <c r="N90" s="76">
        <v>4690.65478515625</v>
      </c>
      <c r="O90" s="77"/>
      <c r="P90" s="78"/>
      <c r="Q90" s="78"/>
      <c r="R90" s="90"/>
      <c r="S90" s="49">
        <v>0</v>
      </c>
      <c r="T90" s="49">
        <v>1</v>
      </c>
      <c r="U90" s="50">
        <v>0</v>
      </c>
      <c r="V90" s="50">
        <v>0.255736</v>
      </c>
      <c r="W90" s="51"/>
      <c r="X90" s="51"/>
      <c r="Y90" s="51"/>
      <c r="Z90" s="50"/>
      <c r="AA90" s="73">
        <v>90</v>
      </c>
      <c r="AB90" s="73"/>
      <c r="AC90" s="74"/>
      <c r="AD90" s="81" t="s">
        <v>2498</v>
      </c>
      <c r="AE90" s="81"/>
      <c r="AF90" s="81"/>
      <c r="AG90" s="81"/>
      <c r="AH90" s="81"/>
      <c r="AI90" s="81" t="s">
        <v>1735</v>
      </c>
      <c r="AJ90" s="88">
        <v>44835.21258101852</v>
      </c>
      <c r="AK90" s="86" t="str">
        <f>HYPERLINK("https://yt3.ggpht.com/ytc/AIf8zZRrsHfTyM7KF5QEbOkazvYGU3v74eRqHL091NWawoRyf49qsh2EGOzX38EuwRxHtQ=s88-c-k-c0x00ffffff-no-rj")</f>
        <v>https://yt3.ggpht.com/ytc/AIf8zZRrsHfTyM7KF5QEbOkazvYGU3v74eRqHL091NWawoRyf49qsh2EGOzX38EuwRxHtQ=s88-c-k-c0x00ffffff-no-rj</v>
      </c>
      <c r="AL90" s="81">
        <v>0</v>
      </c>
      <c r="AM90" s="81">
        <v>0</v>
      </c>
      <c r="AN90" s="81">
        <v>0</v>
      </c>
      <c r="AO90" s="81" t="b">
        <v>0</v>
      </c>
      <c r="AP90" s="81">
        <v>0</v>
      </c>
      <c r="AQ90" s="81"/>
      <c r="AR90" s="81"/>
      <c r="AS90" s="81" t="s">
        <v>3378</v>
      </c>
      <c r="AT90" s="86" t="str">
        <f>HYPERLINK("https://www.youtube.com/channel/UCDhi8KBbeMJTecZKFjzWOBw")</f>
        <v>https://www.youtube.com/channel/UCDhi8KBbeMJTecZKFjzWOBw</v>
      </c>
      <c r="AU90" s="81" t="str">
        <f>REPLACE(INDEX(GroupVertices[Group],MATCH("~"&amp;Vertices[[#This Row],[Vertex]],GroupVertices[Vertex],0)),1,1,"")</f>
        <v>6</v>
      </c>
      <c r="AV90" s="49"/>
      <c r="AW90" s="49"/>
      <c r="AX90" s="49"/>
      <c r="AY90" s="49"/>
      <c r="AZ90" s="49"/>
      <c r="BA90" s="49"/>
      <c r="BB90" s="117" t="s">
        <v>3744</v>
      </c>
      <c r="BC90" s="117" t="s">
        <v>3744</v>
      </c>
      <c r="BD90" s="117" t="s">
        <v>4447</v>
      </c>
      <c r="BE90" s="117" t="s">
        <v>4447</v>
      </c>
      <c r="BF90" s="2"/>
      <c r="BG90" s="3"/>
      <c r="BH90" s="3"/>
      <c r="BI90" s="3"/>
      <c r="BJ90" s="3"/>
    </row>
    <row r="91" spans="1:62" ht="15">
      <c r="A91" s="66" t="s">
        <v>270</v>
      </c>
      <c r="B91" s="67"/>
      <c r="C91" s="67"/>
      <c r="D91" s="68">
        <v>50</v>
      </c>
      <c r="E91" s="70"/>
      <c r="F91" s="105" t="str">
        <f>HYPERLINK("https://yt3.ggpht.com/fYB3Q9r0K5bNPcIa7Nw7Q-9MrKsXbLNU16vmoCkYWHFXTqBR8JcNqcdy-GKcU8xH-scSu_84Dw=s88-c-k-c0x00ffffff-no-rj")</f>
        <v>https://yt3.ggpht.com/fYB3Q9r0K5bNPcIa7Nw7Q-9MrKsXbLNU16vmoCkYWHFXTqBR8JcNqcdy-GKcU8xH-scSu_84Dw=s88-c-k-c0x00ffffff-no-rj</v>
      </c>
      <c r="G91" s="67"/>
      <c r="H91" s="71" t="s">
        <v>2499</v>
      </c>
      <c r="I91" s="72"/>
      <c r="J91" s="72" t="s">
        <v>159</v>
      </c>
      <c r="K91" s="71" t="s">
        <v>2499</v>
      </c>
      <c r="L91" s="75">
        <v>1</v>
      </c>
      <c r="M91" s="76">
        <v>4789.6201171875</v>
      </c>
      <c r="N91" s="76">
        <v>5244.935546875</v>
      </c>
      <c r="O91" s="77"/>
      <c r="P91" s="78"/>
      <c r="Q91" s="78"/>
      <c r="R91" s="90"/>
      <c r="S91" s="49">
        <v>0</v>
      </c>
      <c r="T91" s="49">
        <v>1</v>
      </c>
      <c r="U91" s="50">
        <v>0</v>
      </c>
      <c r="V91" s="50">
        <v>0.255736</v>
      </c>
      <c r="W91" s="51"/>
      <c r="X91" s="51"/>
      <c r="Y91" s="51"/>
      <c r="Z91" s="50"/>
      <c r="AA91" s="73">
        <v>91</v>
      </c>
      <c r="AB91" s="73"/>
      <c r="AC91" s="74"/>
      <c r="AD91" s="81" t="s">
        <v>2499</v>
      </c>
      <c r="AE91" s="81" t="s">
        <v>3142</v>
      </c>
      <c r="AF91" s="81"/>
      <c r="AG91" s="81"/>
      <c r="AH91" s="81"/>
      <c r="AI91" s="81" t="s">
        <v>1736</v>
      </c>
      <c r="AJ91" s="88">
        <v>39023.124074074076</v>
      </c>
      <c r="AK91" s="86" t="str">
        <f>HYPERLINK("https://yt3.ggpht.com/fYB3Q9r0K5bNPcIa7Nw7Q-9MrKsXbLNU16vmoCkYWHFXTqBR8JcNqcdy-GKcU8xH-scSu_84Dw=s88-c-k-c0x00ffffff-no-rj")</f>
        <v>https://yt3.ggpht.com/fYB3Q9r0K5bNPcIa7Nw7Q-9MrKsXbLNU16vmoCkYWHFXTqBR8JcNqcdy-GKcU8xH-scSu_84Dw=s88-c-k-c0x00ffffff-no-rj</v>
      </c>
      <c r="AL91" s="81">
        <v>6074</v>
      </c>
      <c r="AM91" s="81">
        <v>0</v>
      </c>
      <c r="AN91" s="81">
        <v>145</v>
      </c>
      <c r="AO91" s="81" t="b">
        <v>0</v>
      </c>
      <c r="AP91" s="81">
        <v>8</v>
      </c>
      <c r="AQ91" s="81"/>
      <c r="AR91" s="81"/>
      <c r="AS91" s="81" t="s">
        <v>3378</v>
      </c>
      <c r="AT91" s="86" t="str">
        <f>HYPERLINK("https://www.youtube.com/channel/UCgga2sAhcs6ycsHwzWAYkig")</f>
        <v>https://www.youtube.com/channel/UCgga2sAhcs6ycsHwzWAYkig</v>
      </c>
      <c r="AU91" s="81" t="str">
        <f>REPLACE(INDEX(GroupVertices[Group],MATCH("~"&amp;Vertices[[#This Row],[Vertex]],GroupVertices[Vertex],0)),1,1,"")</f>
        <v>6</v>
      </c>
      <c r="AV91" s="49"/>
      <c r="AW91" s="49"/>
      <c r="AX91" s="49"/>
      <c r="AY91" s="49"/>
      <c r="AZ91" s="49"/>
      <c r="BA91" s="49"/>
      <c r="BB91" s="117" t="s">
        <v>3745</v>
      </c>
      <c r="BC91" s="117" t="s">
        <v>3745</v>
      </c>
      <c r="BD91" s="117" t="s">
        <v>4448</v>
      </c>
      <c r="BE91" s="117" t="s">
        <v>4448</v>
      </c>
      <c r="BF91" s="2"/>
      <c r="BG91" s="3"/>
      <c r="BH91" s="3"/>
      <c r="BI91" s="3"/>
      <c r="BJ91" s="3"/>
    </row>
    <row r="92" spans="1:62" ht="15">
      <c r="A92" s="66" t="s">
        <v>271</v>
      </c>
      <c r="B92" s="67"/>
      <c r="C92" s="67"/>
      <c r="D92" s="68">
        <v>50</v>
      </c>
      <c r="E92" s="70"/>
      <c r="F92" s="105" t="str">
        <f>HYPERLINK("https://yt3.ggpht.com/ytc/AIf8zZRnmc8Z_ehu0xpDaRtdOGqlrbIFaCpYIoOEO8GR8to=s88-c-k-c0x00ffffff-no-rj")</f>
        <v>https://yt3.ggpht.com/ytc/AIf8zZRnmc8Z_ehu0xpDaRtdOGqlrbIFaCpYIoOEO8GR8to=s88-c-k-c0x00ffffff-no-rj</v>
      </c>
      <c r="G92" s="67"/>
      <c r="H92" s="71" t="s">
        <v>2500</v>
      </c>
      <c r="I92" s="72"/>
      <c r="J92" s="72" t="s">
        <v>159</v>
      </c>
      <c r="K92" s="71" t="s">
        <v>2500</v>
      </c>
      <c r="L92" s="75">
        <v>1</v>
      </c>
      <c r="M92" s="76">
        <v>3928.73095703125</v>
      </c>
      <c r="N92" s="76">
        <v>3876.1806640625</v>
      </c>
      <c r="O92" s="77"/>
      <c r="P92" s="78"/>
      <c r="Q92" s="78"/>
      <c r="R92" s="90"/>
      <c r="S92" s="49">
        <v>0</v>
      </c>
      <c r="T92" s="49">
        <v>1</v>
      </c>
      <c r="U92" s="50">
        <v>0</v>
      </c>
      <c r="V92" s="50">
        <v>0.255736</v>
      </c>
      <c r="W92" s="51"/>
      <c r="X92" s="51"/>
      <c r="Y92" s="51"/>
      <c r="Z92" s="50"/>
      <c r="AA92" s="73">
        <v>92</v>
      </c>
      <c r="AB92" s="73"/>
      <c r="AC92" s="74"/>
      <c r="AD92" s="81" t="s">
        <v>2500</v>
      </c>
      <c r="AE92" s="81"/>
      <c r="AF92" s="81"/>
      <c r="AG92" s="81"/>
      <c r="AH92" s="81"/>
      <c r="AI92" s="81" t="s">
        <v>1737</v>
      </c>
      <c r="AJ92" s="88">
        <v>40831.178622685184</v>
      </c>
      <c r="AK92" s="86" t="str">
        <f>HYPERLINK("https://yt3.ggpht.com/ytc/AIf8zZRnmc8Z_ehu0xpDaRtdOGqlrbIFaCpYIoOEO8GR8to=s88-c-k-c0x00ffffff-no-rj")</f>
        <v>https://yt3.ggpht.com/ytc/AIf8zZRnmc8Z_ehu0xpDaRtdOGqlrbIFaCpYIoOEO8GR8to=s88-c-k-c0x00ffffff-no-rj</v>
      </c>
      <c r="AL92" s="81">
        <v>0</v>
      </c>
      <c r="AM92" s="81">
        <v>0</v>
      </c>
      <c r="AN92" s="81">
        <v>6</v>
      </c>
      <c r="AO92" s="81" t="b">
        <v>0</v>
      </c>
      <c r="AP92" s="81">
        <v>0</v>
      </c>
      <c r="AQ92" s="81"/>
      <c r="AR92" s="81"/>
      <c r="AS92" s="81" t="s">
        <v>3378</v>
      </c>
      <c r="AT92" s="86" t="str">
        <f>HYPERLINK("https://www.youtube.com/channel/UChDKmyCeNolPtR0jQVDEkCg")</f>
        <v>https://www.youtube.com/channel/UChDKmyCeNolPtR0jQVDEkCg</v>
      </c>
      <c r="AU92" s="81" t="str">
        <f>REPLACE(INDEX(GroupVertices[Group],MATCH("~"&amp;Vertices[[#This Row],[Vertex]],GroupVertices[Vertex],0)),1,1,"")</f>
        <v>6</v>
      </c>
      <c r="AV92" s="49"/>
      <c r="AW92" s="49"/>
      <c r="AX92" s="49"/>
      <c r="AY92" s="49"/>
      <c r="AZ92" s="49"/>
      <c r="BA92" s="49"/>
      <c r="BB92" s="117" t="s">
        <v>3746</v>
      </c>
      <c r="BC92" s="117" t="s">
        <v>3746</v>
      </c>
      <c r="BD92" s="117" t="s">
        <v>4449</v>
      </c>
      <c r="BE92" s="117" t="s">
        <v>4449</v>
      </c>
      <c r="BF92" s="2"/>
      <c r="BG92" s="3"/>
      <c r="BH92" s="3"/>
      <c r="BI92" s="3"/>
      <c r="BJ92" s="3"/>
    </row>
    <row r="93" spans="1:62" ht="15">
      <c r="A93" s="66" t="s">
        <v>272</v>
      </c>
      <c r="B93" s="67"/>
      <c r="C93" s="67"/>
      <c r="D93" s="68">
        <v>50</v>
      </c>
      <c r="E93" s="70"/>
      <c r="F93" s="105" t="str">
        <f>HYPERLINK("https://yt3.ggpht.com/ytc/AIf8zZR9i1T54efheCi-fc7I97SjjD8VCdyRjatVIcVevW7vtqsgnPx2Wyrpq4-poOTU=s88-c-k-c0x00ffffff-no-rj")</f>
        <v>https://yt3.ggpht.com/ytc/AIf8zZR9i1T54efheCi-fc7I97SjjD8VCdyRjatVIcVevW7vtqsgnPx2Wyrpq4-poOTU=s88-c-k-c0x00ffffff-no-rj</v>
      </c>
      <c r="G93" s="67"/>
      <c r="H93" s="71" t="s">
        <v>2501</v>
      </c>
      <c r="I93" s="72"/>
      <c r="J93" s="72" t="s">
        <v>159</v>
      </c>
      <c r="K93" s="71" t="s">
        <v>2501</v>
      </c>
      <c r="L93" s="75">
        <v>1</v>
      </c>
      <c r="M93" s="76">
        <v>5488.31494140625</v>
      </c>
      <c r="N93" s="76">
        <v>4782.306640625</v>
      </c>
      <c r="O93" s="77"/>
      <c r="P93" s="78"/>
      <c r="Q93" s="78"/>
      <c r="R93" s="90"/>
      <c r="S93" s="49">
        <v>0</v>
      </c>
      <c r="T93" s="49">
        <v>1</v>
      </c>
      <c r="U93" s="50">
        <v>0</v>
      </c>
      <c r="V93" s="50">
        <v>0.255736</v>
      </c>
      <c r="W93" s="51"/>
      <c r="X93" s="51"/>
      <c r="Y93" s="51"/>
      <c r="Z93" s="50"/>
      <c r="AA93" s="73">
        <v>93</v>
      </c>
      <c r="AB93" s="73"/>
      <c r="AC93" s="74"/>
      <c r="AD93" s="81" t="s">
        <v>2501</v>
      </c>
      <c r="AE93" s="81"/>
      <c r="AF93" s="81"/>
      <c r="AG93" s="81"/>
      <c r="AH93" s="81"/>
      <c r="AI93" s="81" t="s">
        <v>1738</v>
      </c>
      <c r="AJ93" s="88">
        <v>42709.97043981482</v>
      </c>
      <c r="AK93" s="86" t="str">
        <f>HYPERLINK("https://yt3.ggpht.com/ytc/AIf8zZR9i1T54efheCi-fc7I97SjjD8VCdyRjatVIcVevW7vtqsgnPx2Wyrpq4-poOTU=s88-c-k-c0x00ffffff-no-rj")</f>
        <v>https://yt3.ggpht.com/ytc/AIf8zZR9i1T54efheCi-fc7I97SjjD8VCdyRjatVIcVevW7vtqsgnPx2Wyrpq4-poOTU=s88-c-k-c0x00ffffff-no-rj</v>
      </c>
      <c r="AL93" s="81">
        <v>1</v>
      </c>
      <c r="AM93" s="81">
        <v>0</v>
      </c>
      <c r="AN93" s="81">
        <v>0</v>
      </c>
      <c r="AO93" s="81" t="b">
        <v>0</v>
      </c>
      <c r="AP93" s="81">
        <v>1</v>
      </c>
      <c r="AQ93" s="81"/>
      <c r="AR93" s="81"/>
      <c r="AS93" s="81" t="s">
        <v>3378</v>
      </c>
      <c r="AT93" s="86" t="str">
        <f>HYPERLINK("https://www.youtube.com/channel/UChdhftUxKH7pDMCcmYVFMfQ")</f>
        <v>https://www.youtube.com/channel/UChdhftUxKH7pDMCcmYVFMfQ</v>
      </c>
      <c r="AU93" s="81" t="str">
        <f>REPLACE(INDEX(GroupVertices[Group],MATCH("~"&amp;Vertices[[#This Row],[Vertex]],GroupVertices[Vertex],0)),1,1,"")</f>
        <v>6</v>
      </c>
      <c r="AV93" s="49"/>
      <c r="AW93" s="49"/>
      <c r="AX93" s="49"/>
      <c r="AY93" s="49"/>
      <c r="AZ93" s="49"/>
      <c r="BA93" s="49"/>
      <c r="BB93" s="117" t="s">
        <v>3747</v>
      </c>
      <c r="BC93" s="117" t="s">
        <v>3747</v>
      </c>
      <c r="BD93" s="117" t="s">
        <v>4450</v>
      </c>
      <c r="BE93" s="117" t="s">
        <v>4450</v>
      </c>
      <c r="BF93" s="2"/>
      <c r="BG93" s="3"/>
      <c r="BH93" s="3"/>
      <c r="BI93" s="3"/>
      <c r="BJ93" s="3"/>
    </row>
    <row r="94" spans="1:62" ht="15">
      <c r="A94" s="66" t="s">
        <v>273</v>
      </c>
      <c r="B94" s="67"/>
      <c r="C94" s="67"/>
      <c r="D94" s="68">
        <v>50</v>
      </c>
      <c r="E94" s="70"/>
      <c r="F94" s="105" t="str">
        <f>HYPERLINK("https://yt3.ggpht.com/LAXfRnUPavzs5XT8O-ENyCh_VefkPwp5_hHPvN9ECpsY2t7XAGjVI0i7bud_FDMQbiWKA5h1=s88-c-k-c0x00ffffff-no-rj")</f>
        <v>https://yt3.ggpht.com/LAXfRnUPavzs5XT8O-ENyCh_VefkPwp5_hHPvN9ECpsY2t7XAGjVI0i7bud_FDMQbiWKA5h1=s88-c-k-c0x00ffffff-no-rj</v>
      </c>
      <c r="G94" s="67"/>
      <c r="H94" s="71" t="s">
        <v>2502</v>
      </c>
      <c r="I94" s="72"/>
      <c r="J94" s="72" t="s">
        <v>159</v>
      </c>
      <c r="K94" s="71" t="s">
        <v>2502</v>
      </c>
      <c r="L94" s="75">
        <v>1</v>
      </c>
      <c r="M94" s="76">
        <v>5716.2939453125</v>
      </c>
      <c r="N94" s="76">
        <v>3807.0556640625</v>
      </c>
      <c r="O94" s="77"/>
      <c r="P94" s="78"/>
      <c r="Q94" s="78"/>
      <c r="R94" s="90"/>
      <c r="S94" s="49">
        <v>0</v>
      </c>
      <c r="T94" s="49">
        <v>1</v>
      </c>
      <c r="U94" s="50">
        <v>0</v>
      </c>
      <c r="V94" s="50">
        <v>0.255736</v>
      </c>
      <c r="W94" s="51"/>
      <c r="X94" s="51"/>
      <c r="Y94" s="51"/>
      <c r="Z94" s="50"/>
      <c r="AA94" s="73">
        <v>94</v>
      </c>
      <c r="AB94" s="73"/>
      <c r="AC94" s="74"/>
      <c r="AD94" s="81" t="s">
        <v>2502</v>
      </c>
      <c r="AE94" s="81"/>
      <c r="AF94" s="81"/>
      <c r="AG94" s="81"/>
      <c r="AH94" s="81"/>
      <c r="AI94" s="81" t="s">
        <v>3243</v>
      </c>
      <c r="AJ94" s="88">
        <v>40823.89975694445</v>
      </c>
      <c r="AK94" s="86" t="str">
        <f>HYPERLINK("https://yt3.ggpht.com/LAXfRnUPavzs5XT8O-ENyCh_VefkPwp5_hHPvN9ECpsY2t7XAGjVI0i7bud_FDMQbiWKA5h1=s88-c-k-c0x00ffffff-no-rj")</f>
        <v>https://yt3.ggpht.com/LAXfRnUPavzs5XT8O-ENyCh_VefkPwp5_hHPvN9ECpsY2t7XAGjVI0i7bud_FDMQbiWKA5h1=s88-c-k-c0x00ffffff-no-rj</v>
      </c>
      <c r="AL94" s="81">
        <v>0</v>
      </c>
      <c r="AM94" s="81">
        <v>0</v>
      </c>
      <c r="AN94" s="81">
        <v>5</v>
      </c>
      <c r="AO94" s="81" t="b">
        <v>0</v>
      </c>
      <c r="AP94" s="81">
        <v>0</v>
      </c>
      <c r="AQ94" s="81"/>
      <c r="AR94" s="81"/>
      <c r="AS94" s="81" t="s">
        <v>3378</v>
      </c>
      <c r="AT94" s="86" t="str">
        <f>HYPERLINK("https://www.youtube.com/channel/UCmZ3N80NHmP_3QlE4hluhVg")</f>
        <v>https://www.youtube.com/channel/UCmZ3N80NHmP_3QlE4hluhVg</v>
      </c>
      <c r="AU94" s="81" t="str">
        <f>REPLACE(INDEX(GroupVertices[Group],MATCH("~"&amp;Vertices[[#This Row],[Vertex]],GroupVertices[Vertex],0)),1,1,"")</f>
        <v>6</v>
      </c>
      <c r="AV94" s="49"/>
      <c r="AW94" s="49"/>
      <c r="AX94" s="49"/>
      <c r="AY94" s="49"/>
      <c r="AZ94" s="49"/>
      <c r="BA94" s="49"/>
      <c r="BB94" s="117" t="s">
        <v>3748</v>
      </c>
      <c r="BC94" s="117" t="s">
        <v>3748</v>
      </c>
      <c r="BD94" s="117" t="s">
        <v>2423</v>
      </c>
      <c r="BE94" s="117" t="s">
        <v>2423</v>
      </c>
      <c r="BF94" s="2"/>
      <c r="BG94" s="3"/>
      <c r="BH94" s="3"/>
      <c r="BI94" s="3"/>
      <c r="BJ94" s="3"/>
    </row>
    <row r="95" spans="1:62" ht="15">
      <c r="A95" s="66" t="s">
        <v>274</v>
      </c>
      <c r="B95" s="67"/>
      <c r="C95" s="67"/>
      <c r="D95" s="68">
        <v>50</v>
      </c>
      <c r="E95" s="70"/>
      <c r="F95" s="105" t="str">
        <f>HYPERLINK("https://yt3.ggpht.com/ytc/AIf8zZQeC9jC5_u6qJWmb5vq4nXr8G9IIndz-7DIKA=s88-c-k-c0x00ffffff-no-rj")</f>
        <v>https://yt3.ggpht.com/ytc/AIf8zZQeC9jC5_u6qJWmb5vq4nXr8G9IIndz-7DIKA=s88-c-k-c0x00ffffff-no-rj</v>
      </c>
      <c r="G95" s="67"/>
      <c r="H95" s="71" t="s">
        <v>2503</v>
      </c>
      <c r="I95" s="72"/>
      <c r="J95" s="72" t="s">
        <v>159</v>
      </c>
      <c r="K95" s="71" t="s">
        <v>2503</v>
      </c>
      <c r="L95" s="75">
        <v>1</v>
      </c>
      <c r="M95" s="76">
        <v>4893.681640625</v>
      </c>
      <c r="N95" s="76">
        <v>3693.421142578125</v>
      </c>
      <c r="O95" s="77"/>
      <c r="P95" s="78"/>
      <c r="Q95" s="78"/>
      <c r="R95" s="90"/>
      <c r="S95" s="49">
        <v>0</v>
      </c>
      <c r="T95" s="49">
        <v>1</v>
      </c>
      <c r="U95" s="50">
        <v>0</v>
      </c>
      <c r="V95" s="50">
        <v>0.255736</v>
      </c>
      <c r="W95" s="51"/>
      <c r="X95" s="51"/>
      <c r="Y95" s="51"/>
      <c r="Z95" s="50"/>
      <c r="AA95" s="73">
        <v>95</v>
      </c>
      <c r="AB95" s="73"/>
      <c r="AC95" s="74"/>
      <c r="AD95" s="81" t="s">
        <v>2503</v>
      </c>
      <c r="AE95" s="81"/>
      <c r="AF95" s="81"/>
      <c r="AG95" s="81"/>
      <c r="AH95" s="81"/>
      <c r="AI95" s="81" t="s">
        <v>1740</v>
      </c>
      <c r="AJ95" s="88">
        <v>41219.558020833334</v>
      </c>
      <c r="AK95" s="86" t="str">
        <f>HYPERLINK("https://yt3.ggpht.com/ytc/AIf8zZQeC9jC5_u6qJWmb5vq4nXr8G9IIndz-7DIKA=s88-c-k-c0x00ffffff-no-rj")</f>
        <v>https://yt3.ggpht.com/ytc/AIf8zZQeC9jC5_u6qJWmb5vq4nXr8G9IIndz-7DIKA=s88-c-k-c0x00ffffff-no-rj</v>
      </c>
      <c r="AL95" s="81">
        <v>0</v>
      </c>
      <c r="AM95" s="81">
        <v>0</v>
      </c>
      <c r="AN95" s="81">
        <v>0</v>
      </c>
      <c r="AO95" s="81" t="b">
        <v>0</v>
      </c>
      <c r="AP95" s="81">
        <v>0</v>
      </c>
      <c r="AQ95" s="81"/>
      <c r="AR95" s="81"/>
      <c r="AS95" s="81" t="s">
        <v>3378</v>
      </c>
      <c r="AT95" s="86" t="str">
        <f>HYPERLINK("https://www.youtube.com/channel/UC-8tmIcaoZnzZPhFs-iGERQ")</f>
        <v>https://www.youtube.com/channel/UC-8tmIcaoZnzZPhFs-iGERQ</v>
      </c>
      <c r="AU95" s="81" t="str">
        <f>REPLACE(INDEX(GroupVertices[Group],MATCH("~"&amp;Vertices[[#This Row],[Vertex]],GroupVertices[Vertex],0)),1,1,"")</f>
        <v>6</v>
      </c>
      <c r="AV95" s="49"/>
      <c r="AW95" s="49"/>
      <c r="AX95" s="49"/>
      <c r="AY95" s="49"/>
      <c r="AZ95" s="49"/>
      <c r="BA95" s="49"/>
      <c r="BB95" s="117" t="s">
        <v>3749</v>
      </c>
      <c r="BC95" s="117" t="s">
        <v>3749</v>
      </c>
      <c r="BD95" s="117" t="s">
        <v>4451</v>
      </c>
      <c r="BE95" s="117" t="s">
        <v>4451</v>
      </c>
      <c r="BF95" s="2"/>
      <c r="BG95" s="3"/>
      <c r="BH95" s="3"/>
      <c r="BI95" s="3"/>
      <c r="BJ95" s="3"/>
    </row>
    <row r="96" spans="1:62" ht="15">
      <c r="A96" s="66" t="s">
        <v>275</v>
      </c>
      <c r="B96" s="67"/>
      <c r="C96" s="67"/>
      <c r="D96" s="68">
        <v>50</v>
      </c>
      <c r="E96" s="70"/>
      <c r="F96" s="105" t="str">
        <f>HYPERLINK("https://yt3.ggpht.com/ytc/AIf8zZToaTMSFJKF2kvJhnRLtSaa2Mh-mTuFhxttLD8O=s88-c-k-c0x00ffffff-no-rj")</f>
        <v>https://yt3.ggpht.com/ytc/AIf8zZToaTMSFJKF2kvJhnRLtSaa2Mh-mTuFhxttLD8O=s88-c-k-c0x00ffffff-no-rj</v>
      </c>
      <c r="G96" s="67"/>
      <c r="H96" s="71" t="s">
        <v>2504</v>
      </c>
      <c r="I96" s="72"/>
      <c r="J96" s="72" t="s">
        <v>159</v>
      </c>
      <c r="K96" s="71" t="s">
        <v>2504</v>
      </c>
      <c r="L96" s="75">
        <v>1</v>
      </c>
      <c r="M96" s="76">
        <v>5056.70751953125</v>
      </c>
      <c r="N96" s="76">
        <v>1950.4661865234375</v>
      </c>
      <c r="O96" s="77"/>
      <c r="P96" s="78"/>
      <c r="Q96" s="78"/>
      <c r="R96" s="90"/>
      <c r="S96" s="49">
        <v>0</v>
      </c>
      <c r="T96" s="49">
        <v>1</v>
      </c>
      <c r="U96" s="50">
        <v>0</v>
      </c>
      <c r="V96" s="50">
        <v>0.255736</v>
      </c>
      <c r="W96" s="51"/>
      <c r="X96" s="51"/>
      <c r="Y96" s="51"/>
      <c r="Z96" s="50"/>
      <c r="AA96" s="73">
        <v>96</v>
      </c>
      <c r="AB96" s="73"/>
      <c r="AC96" s="74"/>
      <c r="AD96" s="81" t="s">
        <v>2504</v>
      </c>
      <c r="AE96" s="81"/>
      <c r="AF96" s="81"/>
      <c r="AG96" s="81"/>
      <c r="AH96" s="81"/>
      <c r="AI96" s="81" t="s">
        <v>1741</v>
      </c>
      <c r="AJ96" s="88">
        <v>41732.36293981481</v>
      </c>
      <c r="AK96" s="86" t="str">
        <f>HYPERLINK("https://yt3.ggpht.com/ytc/AIf8zZToaTMSFJKF2kvJhnRLtSaa2Mh-mTuFhxttLD8O=s88-c-k-c0x00ffffff-no-rj")</f>
        <v>https://yt3.ggpht.com/ytc/AIf8zZToaTMSFJKF2kvJhnRLtSaa2Mh-mTuFhxttLD8O=s88-c-k-c0x00ffffff-no-rj</v>
      </c>
      <c r="AL96" s="81">
        <v>0</v>
      </c>
      <c r="AM96" s="81">
        <v>0</v>
      </c>
      <c r="AN96" s="81">
        <v>0</v>
      </c>
      <c r="AO96" s="81" t="b">
        <v>0</v>
      </c>
      <c r="AP96" s="81">
        <v>0</v>
      </c>
      <c r="AQ96" s="81"/>
      <c r="AR96" s="81"/>
      <c r="AS96" s="81" t="s">
        <v>3378</v>
      </c>
      <c r="AT96" s="86" t="str">
        <f>HYPERLINK("https://www.youtube.com/channel/UC-3y5qLmMNxPm_KEVJnwbMA")</f>
        <v>https://www.youtube.com/channel/UC-3y5qLmMNxPm_KEVJnwbMA</v>
      </c>
      <c r="AU96" s="81" t="str">
        <f>REPLACE(INDEX(GroupVertices[Group],MATCH("~"&amp;Vertices[[#This Row],[Vertex]],GroupVertices[Vertex],0)),1,1,"")</f>
        <v>6</v>
      </c>
      <c r="AV96" s="49"/>
      <c r="AW96" s="49"/>
      <c r="AX96" s="49"/>
      <c r="AY96" s="49"/>
      <c r="AZ96" s="49"/>
      <c r="BA96" s="49"/>
      <c r="BB96" s="117" t="s">
        <v>3750</v>
      </c>
      <c r="BC96" s="117" t="s">
        <v>3750</v>
      </c>
      <c r="BD96" s="117" t="s">
        <v>4452</v>
      </c>
      <c r="BE96" s="117" t="s">
        <v>4452</v>
      </c>
      <c r="BF96" s="2"/>
      <c r="BG96" s="3"/>
      <c r="BH96" s="3"/>
      <c r="BI96" s="3"/>
      <c r="BJ96" s="3"/>
    </row>
    <row r="97" spans="1:62" ht="15">
      <c r="A97" s="66" t="s">
        <v>276</v>
      </c>
      <c r="B97" s="67"/>
      <c r="C97" s="67"/>
      <c r="D97" s="68">
        <v>50</v>
      </c>
      <c r="E97" s="70"/>
      <c r="F97" s="105" t="str">
        <f>HYPERLINK("https://yt3.ggpht.com/ytc/AIf8zZSCWkM-sMteA7eIDeeBvmaefuWX_-SLQPKk90donw=s88-c-k-c0x00ffffff-no-rj")</f>
        <v>https://yt3.ggpht.com/ytc/AIf8zZSCWkM-sMteA7eIDeeBvmaefuWX_-SLQPKk90donw=s88-c-k-c0x00ffffff-no-rj</v>
      </c>
      <c r="G97" s="67"/>
      <c r="H97" s="71" t="s">
        <v>2505</v>
      </c>
      <c r="I97" s="72"/>
      <c r="J97" s="72" t="s">
        <v>159</v>
      </c>
      <c r="K97" s="71" t="s">
        <v>2505</v>
      </c>
      <c r="L97" s="75">
        <v>1</v>
      </c>
      <c r="M97" s="76">
        <v>4432.19921875</v>
      </c>
      <c r="N97" s="76">
        <v>413.84954833984375</v>
      </c>
      <c r="O97" s="77"/>
      <c r="P97" s="78"/>
      <c r="Q97" s="78"/>
      <c r="R97" s="90"/>
      <c r="S97" s="49">
        <v>0</v>
      </c>
      <c r="T97" s="49">
        <v>1</v>
      </c>
      <c r="U97" s="50">
        <v>0</v>
      </c>
      <c r="V97" s="50">
        <v>0.255736</v>
      </c>
      <c r="W97" s="51"/>
      <c r="X97" s="51"/>
      <c r="Y97" s="51"/>
      <c r="Z97" s="50"/>
      <c r="AA97" s="73">
        <v>97</v>
      </c>
      <c r="AB97" s="73"/>
      <c r="AC97" s="74"/>
      <c r="AD97" s="81" t="s">
        <v>2505</v>
      </c>
      <c r="AE97" s="81"/>
      <c r="AF97" s="81"/>
      <c r="AG97" s="81"/>
      <c r="AH97" s="81"/>
      <c r="AI97" s="81" t="s">
        <v>1742</v>
      </c>
      <c r="AJ97" s="88">
        <v>40947.18304398148</v>
      </c>
      <c r="AK97" s="86" t="str">
        <f>HYPERLINK("https://yt3.ggpht.com/ytc/AIf8zZSCWkM-sMteA7eIDeeBvmaefuWX_-SLQPKk90donw=s88-c-k-c0x00ffffff-no-rj")</f>
        <v>https://yt3.ggpht.com/ytc/AIf8zZSCWkM-sMteA7eIDeeBvmaefuWX_-SLQPKk90donw=s88-c-k-c0x00ffffff-no-rj</v>
      </c>
      <c r="AL97" s="81">
        <v>1154</v>
      </c>
      <c r="AM97" s="81">
        <v>0</v>
      </c>
      <c r="AN97" s="81">
        <v>10</v>
      </c>
      <c r="AO97" s="81" t="b">
        <v>0</v>
      </c>
      <c r="AP97" s="81">
        <v>2</v>
      </c>
      <c r="AQ97" s="81"/>
      <c r="AR97" s="81"/>
      <c r="AS97" s="81" t="s">
        <v>3378</v>
      </c>
      <c r="AT97" s="86" t="str">
        <f>HYPERLINK("https://www.youtube.com/channel/UCcyTgxpW2pVRXW_TjRuT8pQ")</f>
        <v>https://www.youtube.com/channel/UCcyTgxpW2pVRXW_TjRuT8pQ</v>
      </c>
      <c r="AU97" s="81" t="str">
        <f>REPLACE(INDEX(GroupVertices[Group],MATCH("~"&amp;Vertices[[#This Row],[Vertex]],GroupVertices[Vertex],0)),1,1,"")</f>
        <v>6</v>
      </c>
      <c r="AV97" s="49" t="s">
        <v>3666</v>
      </c>
      <c r="AW97" s="49" t="s">
        <v>3666</v>
      </c>
      <c r="AX97" s="49" t="s">
        <v>2414</v>
      </c>
      <c r="AY97" s="49" t="s">
        <v>2414</v>
      </c>
      <c r="AZ97" s="49"/>
      <c r="BA97" s="49"/>
      <c r="BB97" s="117" t="s">
        <v>3751</v>
      </c>
      <c r="BC97" s="117" t="s">
        <v>3751</v>
      </c>
      <c r="BD97" s="117" t="s">
        <v>4453</v>
      </c>
      <c r="BE97" s="117" t="s">
        <v>4453</v>
      </c>
      <c r="BF97" s="2"/>
      <c r="BG97" s="3"/>
      <c r="BH97" s="3"/>
      <c r="BI97" s="3"/>
      <c r="BJ97" s="3"/>
    </row>
    <row r="98" spans="1:62" ht="15">
      <c r="A98" s="66" t="s">
        <v>277</v>
      </c>
      <c r="B98" s="67"/>
      <c r="C98" s="67"/>
      <c r="D98" s="68">
        <v>50</v>
      </c>
      <c r="E98" s="70"/>
      <c r="F98" s="105" t="str">
        <f>HYPERLINK("https://yt3.ggpht.com/ytc/AIf8zZQcJ909XclFhsO29iPFVNT7ZBd39Pd76obd9NApk1k=s88-c-k-c0x00ffffff-no-rj")</f>
        <v>https://yt3.ggpht.com/ytc/AIf8zZQcJ909XclFhsO29iPFVNT7ZBd39Pd76obd9NApk1k=s88-c-k-c0x00ffffff-no-rj</v>
      </c>
      <c r="G98" s="67"/>
      <c r="H98" s="71" t="s">
        <v>2506</v>
      </c>
      <c r="I98" s="72"/>
      <c r="J98" s="72" t="s">
        <v>159</v>
      </c>
      <c r="K98" s="71" t="s">
        <v>2506</v>
      </c>
      <c r="L98" s="75">
        <v>1</v>
      </c>
      <c r="M98" s="76">
        <v>4382.20458984375</v>
      </c>
      <c r="N98" s="76">
        <v>4280.11962890625</v>
      </c>
      <c r="O98" s="77"/>
      <c r="P98" s="78"/>
      <c r="Q98" s="78"/>
      <c r="R98" s="90"/>
      <c r="S98" s="49">
        <v>0</v>
      </c>
      <c r="T98" s="49">
        <v>1</v>
      </c>
      <c r="U98" s="50">
        <v>0</v>
      </c>
      <c r="V98" s="50">
        <v>0.255736</v>
      </c>
      <c r="W98" s="51"/>
      <c r="X98" s="51"/>
      <c r="Y98" s="51"/>
      <c r="Z98" s="50"/>
      <c r="AA98" s="73">
        <v>98</v>
      </c>
      <c r="AB98" s="73"/>
      <c r="AC98" s="74"/>
      <c r="AD98" s="81" t="s">
        <v>2506</v>
      </c>
      <c r="AE98" s="81" t="s">
        <v>3143</v>
      </c>
      <c r="AF98" s="81"/>
      <c r="AG98" s="81"/>
      <c r="AH98" s="81"/>
      <c r="AI98" s="81" t="s">
        <v>1743</v>
      </c>
      <c r="AJ98" s="88">
        <v>42753.29004629629</v>
      </c>
      <c r="AK98" s="86" t="str">
        <f>HYPERLINK("https://yt3.ggpht.com/ytc/AIf8zZQcJ909XclFhsO29iPFVNT7ZBd39Pd76obd9NApk1k=s88-c-k-c0x00ffffff-no-rj")</f>
        <v>https://yt3.ggpht.com/ytc/AIf8zZQcJ909XclFhsO29iPFVNT7ZBd39Pd76obd9NApk1k=s88-c-k-c0x00ffffff-no-rj</v>
      </c>
      <c r="AL98" s="81">
        <v>36580</v>
      </c>
      <c r="AM98" s="81">
        <v>0</v>
      </c>
      <c r="AN98" s="81">
        <v>176</v>
      </c>
      <c r="AO98" s="81" t="b">
        <v>0</v>
      </c>
      <c r="AP98" s="81">
        <v>79</v>
      </c>
      <c r="AQ98" s="81"/>
      <c r="AR98" s="81"/>
      <c r="AS98" s="81" t="s">
        <v>3378</v>
      </c>
      <c r="AT98" s="86" t="str">
        <f>HYPERLINK("https://www.youtube.com/channel/UCgTqMedX0BlGte8ZTAYz6XA")</f>
        <v>https://www.youtube.com/channel/UCgTqMedX0BlGte8ZTAYz6XA</v>
      </c>
      <c r="AU98" s="81" t="str">
        <f>REPLACE(INDEX(GroupVertices[Group],MATCH("~"&amp;Vertices[[#This Row],[Vertex]],GroupVertices[Vertex],0)),1,1,"")</f>
        <v>6</v>
      </c>
      <c r="AV98" s="49"/>
      <c r="AW98" s="49"/>
      <c r="AX98" s="49"/>
      <c r="AY98" s="49"/>
      <c r="AZ98" s="49"/>
      <c r="BA98" s="49"/>
      <c r="BB98" s="117" t="s">
        <v>3752</v>
      </c>
      <c r="BC98" s="117" t="s">
        <v>3752</v>
      </c>
      <c r="BD98" s="117" t="s">
        <v>4454</v>
      </c>
      <c r="BE98" s="117" t="s">
        <v>4454</v>
      </c>
      <c r="BF98" s="2"/>
      <c r="BG98" s="3"/>
      <c r="BH98" s="3"/>
      <c r="BI98" s="3"/>
      <c r="BJ98" s="3"/>
    </row>
    <row r="99" spans="1:62" ht="15">
      <c r="A99" s="66" t="s">
        <v>278</v>
      </c>
      <c r="B99" s="67"/>
      <c r="C99" s="67"/>
      <c r="D99" s="68">
        <v>50</v>
      </c>
      <c r="E99" s="70"/>
      <c r="F99" s="105" t="str">
        <f>HYPERLINK("https://yt3.ggpht.com/ytc/AIf8zZTC2CAgn9o1z6NgvdAo0vDjEUOcQZOQ8kDrSw=s88-c-k-c0x00ffffff-no-rj")</f>
        <v>https://yt3.ggpht.com/ytc/AIf8zZTC2CAgn9o1z6NgvdAo0vDjEUOcQZOQ8kDrSw=s88-c-k-c0x00ffffff-no-rj</v>
      </c>
      <c r="G99" s="67"/>
      <c r="H99" s="71" t="s">
        <v>2507</v>
      </c>
      <c r="I99" s="72"/>
      <c r="J99" s="72" t="s">
        <v>159</v>
      </c>
      <c r="K99" s="71" t="s">
        <v>2507</v>
      </c>
      <c r="L99" s="75">
        <v>1</v>
      </c>
      <c r="M99" s="76">
        <v>4455.27783203125</v>
      </c>
      <c r="N99" s="76">
        <v>5298.8857421875</v>
      </c>
      <c r="O99" s="77"/>
      <c r="P99" s="78"/>
      <c r="Q99" s="78"/>
      <c r="R99" s="90"/>
      <c r="S99" s="49">
        <v>0</v>
      </c>
      <c r="T99" s="49">
        <v>1</v>
      </c>
      <c r="U99" s="50">
        <v>0</v>
      </c>
      <c r="V99" s="50">
        <v>0.255736</v>
      </c>
      <c r="W99" s="51"/>
      <c r="X99" s="51"/>
      <c r="Y99" s="51"/>
      <c r="Z99" s="50"/>
      <c r="AA99" s="73">
        <v>99</v>
      </c>
      <c r="AB99" s="73"/>
      <c r="AC99" s="74"/>
      <c r="AD99" s="81" t="s">
        <v>2507</v>
      </c>
      <c r="AE99" s="81"/>
      <c r="AF99" s="81"/>
      <c r="AG99" s="81"/>
      <c r="AH99" s="81"/>
      <c r="AI99" s="81" t="s">
        <v>1744</v>
      </c>
      <c r="AJ99" s="88">
        <v>43001.2859837963</v>
      </c>
      <c r="AK99" s="86" t="str">
        <f>HYPERLINK("https://yt3.ggpht.com/ytc/AIf8zZTC2CAgn9o1z6NgvdAo0vDjEUOcQZOQ8kDrSw=s88-c-k-c0x00ffffff-no-rj")</f>
        <v>https://yt3.ggpht.com/ytc/AIf8zZTC2CAgn9o1z6NgvdAo0vDjEUOcQZOQ8kDrSw=s88-c-k-c0x00ffffff-no-rj</v>
      </c>
      <c r="AL99" s="81">
        <v>879</v>
      </c>
      <c r="AM99" s="81">
        <v>0</v>
      </c>
      <c r="AN99" s="81">
        <v>1</v>
      </c>
      <c r="AO99" s="81" t="b">
        <v>0</v>
      </c>
      <c r="AP99" s="81">
        <v>3</v>
      </c>
      <c r="AQ99" s="81"/>
      <c r="AR99" s="81"/>
      <c r="AS99" s="81" t="s">
        <v>3378</v>
      </c>
      <c r="AT99" s="86" t="str">
        <f>HYPERLINK("https://www.youtube.com/channel/UCoVp0s1bMO55r1aWuPYes4A")</f>
        <v>https://www.youtube.com/channel/UCoVp0s1bMO55r1aWuPYes4A</v>
      </c>
      <c r="AU99" s="81" t="str">
        <f>REPLACE(INDEX(GroupVertices[Group],MATCH("~"&amp;Vertices[[#This Row],[Vertex]],GroupVertices[Vertex],0)),1,1,"")</f>
        <v>6</v>
      </c>
      <c r="AV99" s="49"/>
      <c r="AW99" s="49"/>
      <c r="AX99" s="49"/>
      <c r="AY99" s="49"/>
      <c r="AZ99" s="49"/>
      <c r="BA99" s="49"/>
      <c r="BB99" s="117" t="s">
        <v>3753</v>
      </c>
      <c r="BC99" s="117" t="s">
        <v>3753</v>
      </c>
      <c r="BD99" s="117" t="s">
        <v>4455</v>
      </c>
      <c r="BE99" s="117" t="s">
        <v>4455</v>
      </c>
      <c r="BF99" s="2"/>
      <c r="BG99" s="3"/>
      <c r="BH99" s="3"/>
      <c r="BI99" s="3"/>
      <c r="BJ99" s="3"/>
    </row>
    <row r="100" spans="1:62" ht="15">
      <c r="A100" s="66" t="s">
        <v>279</v>
      </c>
      <c r="B100" s="67"/>
      <c r="C100" s="67"/>
      <c r="D100" s="68">
        <v>50</v>
      </c>
      <c r="E100" s="70"/>
      <c r="F100" s="105" t="str">
        <f>HYPERLINK("https://yt3.ggpht.com/ytc/AIf8zZTJtcxbmCevyYQ1qy1Sr8EPwX_XkNU05OLTwg=s88-c-k-c0x00ffffff-no-rj")</f>
        <v>https://yt3.ggpht.com/ytc/AIf8zZTJtcxbmCevyYQ1qy1Sr8EPwX_XkNU05OLTwg=s88-c-k-c0x00ffffff-no-rj</v>
      </c>
      <c r="G100" s="67"/>
      <c r="H100" s="71" t="s">
        <v>2508</v>
      </c>
      <c r="I100" s="72"/>
      <c r="J100" s="72" t="s">
        <v>159</v>
      </c>
      <c r="K100" s="71" t="s">
        <v>2508</v>
      </c>
      <c r="L100" s="75">
        <v>1</v>
      </c>
      <c r="M100" s="76">
        <v>4176.388671875</v>
      </c>
      <c r="N100" s="76">
        <v>898.3699951171875</v>
      </c>
      <c r="O100" s="77"/>
      <c r="P100" s="78"/>
      <c r="Q100" s="78"/>
      <c r="R100" s="90"/>
      <c r="S100" s="49">
        <v>0</v>
      </c>
      <c r="T100" s="49">
        <v>1</v>
      </c>
      <c r="U100" s="50">
        <v>0</v>
      </c>
      <c r="V100" s="50">
        <v>0.255736</v>
      </c>
      <c r="W100" s="51"/>
      <c r="X100" s="51"/>
      <c r="Y100" s="51"/>
      <c r="Z100" s="50"/>
      <c r="AA100" s="73">
        <v>100</v>
      </c>
      <c r="AB100" s="73"/>
      <c r="AC100" s="74"/>
      <c r="AD100" s="81" t="s">
        <v>2508</v>
      </c>
      <c r="AE100" s="81"/>
      <c r="AF100" s="81"/>
      <c r="AG100" s="81"/>
      <c r="AH100" s="81"/>
      <c r="AI100" s="81" t="s">
        <v>1745</v>
      </c>
      <c r="AJ100" s="88">
        <v>40236.35824074074</v>
      </c>
      <c r="AK100" s="86" t="str">
        <f>HYPERLINK("https://yt3.ggpht.com/ytc/AIf8zZTJtcxbmCevyYQ1qy1Sr8EPwX_XkNU05OLTwg=s88-c-k-c0x00ffffff-no-rj")</f>
        <v>https://yt3.ggpht.com/ytc/AIf8zZTJtcxbmCevyYQ1qy1Sr8EPwX_XkNU05OLTwg=s88-c-k-c0x00ffffff-no-rj</v>
      </c>
      <c r="AL100" s="81">
        <v>789</v>
      </c>
      <c r="AM100" s="81">
        <v>0</v>
      </c>
      <c r="AN100" s="81">
        <v>0</v>
      </c>
      <c r="AO100" s="81" t="b">
        <v>0</v>
      </c>
      <c r="AP100" s="81">
        <v>2</v>
      </c>
      <c r="AQ100" s="81"/>
      <c r="AR100" s="81"/>
      <c r="AS100" s="81" t="s">
        <v>3378</v>
      </c>
      <c r="AT100" s="86" t="str">
        <f>HYPERLINK("https://www.youtube.com/channel/UC1KLrjn_ZKgSYLLe7WDdSqA")</f>
        <v>https://www.youtube.com/channel/UC1KLrjn_ZKgSYLLe7WDdSqA</v>
      </c>
      <c r="AU100" s="81" t="str">
        <f>REPLACE(INDEX(GroupVertices[Group],MATCH("~"&amp;Vertices[[#This Row],[Vertex]],GroupVertices[Vertex],0)),1,1,"")</f>
        <v>6</v>
      </c>
      <c r="AV100" s="49"/>
      <c r="AW100" s="49"/>
      <c r="AX100" s="49"/>
      <c r="AY100" s="49"/>
      <c r="AZ100" s="49"/>
      <c r="BA100" s="49"/>
      <c r="BB100" s="117" t="s">
        <v>3754</v>
      </c>
      <c r="BC100" s="117" t="s">
        <v>3754</v>
      </c>
      <c r="BD100" s="117" t="s">
        <v>4456</v>
      </c>
      <c r="BE100" s="117" t="s">
        <v>4456</v>
      </c>
      <c r="BF100" s="2"/>
      <c r="BG100" s="3"/>
      <c r="BH100" s="3"/>
      <c r="BI100" s="3"/>
      <c r="BJ100" s="3"/>
    </row>
    <row r="101" spans="1:62" ht="15">
      <c r="A101" s="66" t="s">
        <v>280</v>
      </c>
      <c r="B101" s="67"/>
      <c r="C101" s="67"/>
      <c r="D101" s="68">
        <v>50</v>
      </c>
      <c r="E101" s="70"/>
      <c r="F101" s="105" t="str">
        <f>HYPERLINK("https://yt3.ggpht.com/ytc/AIf8zZRj8JtgSSDviR9EHC_Y4Z_xUN0Edvv5cFusGPnG=s88-c-k-c0x00ffffff-no-rj")</f>
        <v>https://yt3.ggpht.com/ytc/AIf8zZRj8JtgSSDviR9EHC_Y4Z_xUN0Edvv5cFusGPnG=s88-c-k-c0x00ffffff-no-rj</v>
      </c>
      <c r="G101" s="67"/>
      <c r="H101" s="71" t="s">
        <v>2509</v>
      </c>
      <c r="I101" s="72"/>
      <c r="J101" s="72" t="s">
        <v>159</v>
      </c>
      <c r="K101" s="71" t="s">
        <v>2509</v>
      </c>
      <c r="L101" s="75">
        <v>1</v>
      </c>
      <c r="M101" s="76">
        <v>5475.34375</v>
      </c>
      <c r="N101" s="76">
        <v>3715.816162109375</v>
      </c>
      <c r="O101" s="77"/>
      <c r="P101" s="78"/>
      <c r="Q101" s="78"/>
      <c r="R101" s="90"/>
      <c r="S101" s="49">
        <v>0</v>
      </c>
      <c r="T101" s="49">
        <v>1</v>
      </c>
      <c r="U101" s="50">
        <v>0</v>
      </c>
      <c r="V101" s="50">
        <v>0.255736</v>
      </c>
      <c r="W101" s="51"/>
      <c r="X101" s="51"/>
      <c r="Y101" s="51"/>
      <c r="Z101" s="50"/>
      <c r="AA101" s="73">
        <v>101</v>
      </c>
      <c r="AB101" s="73"/>
      <c r="AC101" s="74"/>
      <c r="AD101" s="81" t="s">
        <v>2509</v>
      </c>
      <c r="AE101" s="81"/>
      <c r="AF101" s="81"/>
      <c r="AG101" s="81"/>
      <c r="AH101" s="81"/>
      <c r="AI101" s="81" t="s">
        <v>1746</v>
      </c>
      <c r="AJ101" s="88">
        <v>42559.12079861111</v>
      </c>
      <c r="AK101" s="86" t="str">
        <f>HYPERLINK("https://yt3.ggpht.com/ytc/AIf8zZRj8JtgSSDviR9EHC_Y4Z_xUN0Edvv5cFusGPnG=s88-c-k-c0x00ffffff-no-rj")</f>
        <v>https://yt3.ggpht.com/ytc/AIf8zZRj8JtgSSDviR9EHC_Y4Z_xUN0Edvv5cFusGPnG=s88-c-k-c0x00ffffff-no-rj</v>
      </c>
      <c r="AL101" s="81">
        <v>78447</v>
      </c>
      <c r="AM101" s="81">
        <v>0</v>
      </c>
      <c r="AN101" s="81">
        <v>382</v>
      </c>
      <c r="AO101" s="81" t="b">
        <v>0</v>
      </c>
      <c r="AP101" s="81">
        <v>13</v>
      </c>
      <c r="AQ101" s="81"/>
      <c r="AR101" s="81"/>
      <c r="AS101" s="81" t="s">
        <v>3378</v>
      </c>
      <c r="AT101" s="86" t="str">
        <f>HYPERLINK("https://www.youtube.com/channel/UCb3bemk_IVeEOhOSrPrUolQ")</f>
        <v>https://www.youtube.com/channel/UCb3bemk_IVeEOhOSrPrUolQ</v>
      </c>
      <c r="AU101" s="81" t="str">
        <f>REPLACE(INDEX(GroupVertices[Group],MATCH("~"&amp;Vertices[[#This Row],[Vertex]],GroupVertices[Vertex],0)),1,1,"")</f>
        <v>6</v>
      </c>
      <c r="AV101" s="49"/>
      <c r="AW101" s="49"/>
      <c r="AX101" s="49"/>
      <c r="AY101" s="49"/>
      <c r="AZ101" s="49"/>
      <c r="BA101" s="49"/>
      <c r="BB101" s="117" t="s">
        <v>3755</v>
      </c>
      <c r="BC101" s="117" t="s">
        <v>3755</v>
      </c>
      <c r="BD101" s="117" t="s">
        <v>4457</v>
      </c>
      <c r="BE101" s="117" t="s">
        <v>4457</v>
      </c>
      <c r="BF101" s="2"/>
      <c r="BG101" s="3"/>
      <c r="BH101" s="3"/>
      <c r="BI101" s="3"/>
      <c r="BJ101" s="3"/>
    </row>
    <row r="102" spans="1:62" ht="15">
      <c r="A102" s="66" t="s">
        <v>281</v>
      </c>
      <c r="B102" s="67"/>
      <c r="C102" s="67"/>
      <c r="D102" s="68">
        <v>50</v>
      </c>
      <c r="E102" s="70"/>
      <c r="F102" s="105" t="str">
        <f>HYPERLINK("https://yt3.ggpht.com/ytc/AIf8zZRSfRmuJ2iTHRzQm94s3bbvRPuGHurHH1Pk-Q=s88-c-k-c0x00ffffff-no-rj")</f>
        <v>https://yt3.ggpht.com/ytc/AIf8zZRSfRmuJ2iTHRzQm94s3bbvRPuGHurHH1Pk-Q=s88-c-k-c0x00ffffff-no-rj</v>
      </c>
      <c r="G102" s="67"/>
      <c r="H102" s="71" t="s">
        <v>2510</v>
      </c>
      <c r="I102" s="72"/>
      <c r="J102" s="72" t="s">
        <v>159</v>
      </c>
      <c r="K102" s="71" t="s">
        <v>2510</v>
      </c>
      <c r="L102" s="75">
        <v>1</v>
      </c>
      <c r="M102" s="76">
        <v>5273.42626953125</v>
      </c>
      <c r="N102" s="76">
        <v>5267.02392578125</v>
      </c>
      <c r="O102" s="77"/>
      <c r="P102" s="78"/>
      <c r="Q102" s="78"/>
      <c r="R102" s="90"/>
      <c r="S102" s="49">
        <v>0</v>
      </c>
      <c r="T102" s="49">
        <v>1</v>
      </c>
      <c r="U102" s="50">
        <v>0</v>
      </c>
      <c r="V102" s="50">
        <v>0.255736</v>
      </c>
      <c r="W102" s="51"/>
      <c r="X102" s="51"/>
      <c r="Y102" s="51"/>
      <c r="Z102" s="50"/>
      <c r="AA102" s="73">
        <v>102</v>
      </c>
      <c r="AB102" s="73"/>
      <c r="AC102" s="74"/>
      <c r="AD102" s="81" t="s">
        <v>2510</v>
      </c>
      <c r="AE102" s="81"/>
      <c r="AF102" s="81"/>
      <c r="AG102" s="81"/>
      <c r="AH102" s="81"/>
      <c r="AI102" s="81" t="s">
        <v>1747</v>
      </c>
      <c r="AJ102" s="88">
        <v>40849.37815972222</v>
      </c>
      <c r="AK102" s="86" t="str">
        <f>HYPERLINK("https://yt3.ggpht.com/ytc/AIf8zZRSfRmuJ2iTHRzQm94s3bbvRPuGHurHH1Pk-Q=s88-c-k-c0x00ffffff-no-rj")</f>
        <v>https://yt3.ggpht.com/ytc/AIf8zZRSfRmuJ2iTHRzQm94s3bbvRPuGHurHH1Pk-Q=s88-c-k-c0x00ffffff-no-rj</v>
      </c>
      <c r="AL102" s="81">
        <v>0</v>
      </c>
      <c r="AM102" s="81">
        <v>0</v>
      </c>
      <c r="AN102" s="81">
        <v>1</v>
      </c>
      <c r="AO102" s="81" t="b">
        <v>0</v>
      </c>
      <c r="AP102" s="81">
        <v>0</v>
      </c>
      <c r="AQ102" s="81"/>
      <c r="AR102" s="81"/>
      <c r="AS102" s="81" t="s">
        <v>3378</v>
      </c>
      <c r="AT102" s="86" t="str">
        <f>HYPERLINK("https://www.youtube.com/channel/UCzpyn_JCCYCjsdWC8E0UDag")</f>
        <v>https://www.youtube.com/channel/UCzpyn_JCCYCjsdWC8E0UDag</v>
      </c>
      <c r="AU102" s="81" t="str">
        <f>REPLACE(INDEX(GroupVertices[Group],MATCH("~"&amp;Vertices[[#This Row],[Vertex]],GroupVertices[Vertex],0)),1,1,"")</f>
        <v>6</v>
      </c>
      <c r="AV102" s="49"/>
      <c r="AW102" s="49"/>
      <c r="AX102" s="49"/>
      <c r="AY102" s="49"/>
      <c r="AZ102" s="49"/>
      <c r="BA102" s="49"/>
      <c r="BB102" s="117" t="s">
        <v>3756</v>
      </c>
      <c r="BC102" s="117" t="s">
        <v>3756</v>
      </c>
      <c r="BD102" s="117" t="s">
        <v>4458</v>
      </c>
      <c r="BE102" s="117" t="s">
        <v>4458</v>
      </c>
      <c r="BF102" s="2"/>
      <c r="BG102" s="3"/>
      <c r="BH102" s="3"/>
      <c r="BI102" s="3"/>
      <c r="BJ102" s="3"/>
    </row>
    <row r="103" spans="1:62" ht="15">
      <c r="A103" s="66" t="s">
        <v>282</v>
      </c>
      <c r="B103" s="67"/>
      <c r="C103" s="67"/>
      <c r="D103" s="68">
        <v>50</v>
      </c>
      <c r="E103" s="70"/>
      <c r="F103" s="105" t="str">
        <f>HYPERLINK("https://yt3.ggpht.com/ytc/AIf8zZTQBdpw2aSOjImG759TjzKAKVtX3pVDhZIQreUYSUb6cYF6Na27AZCqeVhXX5S5=s88-c-k-c0x00ffffff-no-rj")</f>
        <v>https://yt3.ggpht.com/ytc/AIf8zZTQBdpw2aSOjImG759TjzKAKVtX3pVDhZIQreUYSUb6cYF6Na27AZCqeVhXX5S5=s88-c-k-c0x00ffffff-no-rj</v>
      </c>
      <c r="G103" s="67"/>
      <c r="H103" s="71" t="s">
        <v>2511</v>
      </c>
      <c r="I103" s="72"/>
      <c r="J103" s="72" t="s">
        <v>159</v>
      </c>
      <c r="K103" s="71" t="s">
        <v>2511</v>
      </c>
      <c r="L103" s="75">
        <v>1</v>
      </c>
      <c r="M103" s="76">
        <v>5946.560546875</v>
      </c>
      <c r="N103" s="76">
        <v>3675.716552734375</v>
      </c>
      <c r="O103" s="77"/>
      <c r="P103" s="78"/>
      <c r="Q103" s="78"/>
      <c r="R103" s="90"/>
      <c r="S103" s="49">
        <v>0</v>
      </c>
      <c r="T103" s="49">
        <v>1</v>
      </c>
      <c r="U103" s="50">
        <v>0</v>
      </c>
      <c r="V103" s="50">
        <v>0.255736</v>
      </c>
      <c r="W103" s="51"/>
      <c r="X103" s="51"/>
      <c r="Y103" s="51"/>
      <c r="Z103" s="50"/>
      <c r="AA103" s="73">
        <v>103</v>
      </c>
      <c r="AB103" s="73"/>
      <c r="AC103" s="74"/>
      <c r="AD103" s="81" t="s">
        <v>2511</v>
      </c>
      <c r="AE103" s="81"/>
      <c r="AF103" s="81"/>
      <c r="AG103" s="81"/>
      <c r="AH103" s="81"/>
      <c r="AI103" s="81" t="s">
        <v>1748</v>
      </c>
      <c r="AJ103" s="88">
        <v>41537.97008101852</v>
      </c>
      <c r="AK103" s="86" t="str">
        <f>HYPERLINK("https://yt3.ggpht.com/ytc/AIf8zZTQBdpw2aSOjImG759TjzKAKVtX3pVDhZIQreUYSUb6cYF6Na27AZCqeVhXX5S5=s88-c-k-c0x00ffffff-no-rj")</f>
        <v>https://yt3.ggpht.com/ytc/AIf8zZTQBdpw2aSOjImG759TjzKAKVtX3pVDhZIQreUYSUb6cYF6Na27AZCqeVhXX5S5=s88-c-k-c0x00ffffff-no-rj</v>
      </c>
      <c r="AL103" s="81">
        <v>0</v>
      </c>
      <c r="AM103" s="81">
        <v>0</v>
      </c>
      <c r="AN103" s="81">
        <v>3</v>
      </c>
      <c r="AO103" s="81" t="b">
        <v>0</v>
      </c>
      <c r="AP103" s="81">
        <v>0</v>
      </c>
      <c r="AQ103" s="81"/>
      <c r="AR103" s="81"/>
      <c r="AS103" s="81" t="s">
        <v>3378</v>
      </c>
      <c r="AT103" s="86" t="str">
        <f>HYPERLINK("https://www.youtube.com/channel/UC0twXK1mKrWYkCv9B0_dnKg")</f>
        <v>https://www.youtube.com/channel/UC0twXK1mKrWYkCv9B0_dnKg</v>
      </c>
      <c r="AU103" s="81" t="str">
        <f>REPLACE(INDEX(GroupVertices[Group],MATCH("~"&amp;Vertices[[#This Row],[Vertex]],GroupVertices[Vertex],0)),1,1,"")</f>
        <v>6</v>
      </c>
      <c r="AV103" s="49"/>
      <c r="AW103" s="49"/>
      <c r="AX103" s="49"/>
      <c r="AY103" s="49"/>
      <c r="AZ103" s="49"/>
      <c r="BA103" s="49"/>
      <c r="BB103" s="117" t="s">
        <v>3757</v>
      </c>
      <c r="BC103" s="117" t="s">
        <v>3757</v>
      </c>
      <c r="BD103" s="117" t="s">
        <v>4459</v>
      </c>
      <c r="BE103" s="117" t="s">
        <v>4459</v>
      </c>
      <c r="BF103" s="2"/>
      <c r="BG103" s="3"/>
      <c r="BH103" s="3"/>
      <c r="BI103" s="3"/>
      <c r="BJ103" s="3"/>
    </row>
    <row r="104" spans="1:62" ht="15">
      <c r="A104" s="66" t="s">
        <v>283</v>
      </c>
      <c r="B104" s="67"/>
      <c r="C104" s="67"/>
      <c r="D104" s="68">
        <v>50</v>
      </c>
      <c r="E104" s="70"/>
      <c r="F104" s="105" t="str">
        <f>HYPERLINK("https://yt3.ggpht.com/ytc/AIf8zZSh4dgcjmMWydGNV95lAVYGFp2FBBiOAPGs5DtVtPoPhCOMNmb6NgxC9x-DraJ6=s88-c-k-c0x00ffffff-no-rj")</f>
        <v>https://yt3.ggpht.com/ytc/AIf8zZSh4dgcjmMWydGNV95lAVYGFp2FBBiOAPGs5DtVtPoPhCOMNmb6NgxC9x-DraJ6=s88-c-k-c0x00ffffff-no-rj</v>
      </c>
      <c r="G104" s="67"/>
      <c r="H104" s="71" t="s">
        <v>2512</v>
      </c>
      <c r="I104" s="72"/>
      <c r="J104" s="72" t="s">
        <v>159</v>
      </c>
      <c r="K104" s="71" t="s">
        <v>2512</v>
      </c>
      <c r="L104" s="75">
        <v>1</v>
      </c>
      <c r="M104" s="76">
        <v>5343.06201171875</v>
      </c>
      <c r="N104" s="76">
        <v>3032.56298828125</v>
      </c>
      <c r="O104" s="77"/>
      <c r="P104" s="78"/>
      <c r="Q104" s="78"/>
      <c r="R104" s="90"/>
      <c r="S104" s="49">
        <v>0</v>
      </c>
      <c r="T104" s="49">
        <v>1</v>
      </c>
      <c r="U104" s="50">
        <v>0</v>
      </c>
      <c r="V104" s="50">
        <v>0.255736</v>
      </c>
      <c r="W104" s="51"/>
      <c r="X104" s="51"/>
      <c r="Y104" s="51"/>
      <c r="Z104" s="50"/>
      <c r="AA104" s="73">
        <v>104</v>
      </c>
      <c r="AB104" s="73"/>
      <c r="AC104" s="74"/>
      <c r="AD104" s="81" t="s">
        <v>2512</v>
      </c>
      <c r="AE104" s="81"/>
      <c r="AF104" s="81"/>
      <c r="AG104" s="81"/>
      <c r="AH104" s="81"/>
      <c r="AI104" s="81" t="s">
        <v>1749</v>
      </c>
      <c r="AJ104" s="88">
        <v>44700.7794212963</v>
      </c>
      <c r="AK104" s="86" t="str">
        <f>HYPERLINK("https://yt3.ggpht.com/ytc/AIf8zZSh4dgcjmMWydGNV95lAVYGFp2FBBiOAPGs5DtVtPoPhCOMNmb6NgxC9x-DraJ6=s88-c-k-c0x00ffffff-no-rj")</f>
        <v>https://yt3.ggpht.com/ytc/AIf8zZSh4dgcjmMWydGNV95lAVYGFp2FBBiOAPGs5DtVtPoPhCOMNmb6NgxC9x-DraJ6=s88-c-k-c0x00ffffff-no-rj</v>
      </c>
      <c r="AL104" s="81">
        <v>0</v>
      </c>
      <c r="AM104" s="81">
        <v>0</v>
      </c>
      <c r="AN104" s="81">
        <v>0</v>
      </c>
      <c r="AO104" s="81" t="b">
        <v>0</v>
      </c>
      <c r="AP104" s="81">
        <v>0</v>
      </c>
      <c r="AQ104" s="81"/>
      <c r="AR104" s="81"/>
      <c r="AS104" s="81" t="s">
        <v>3378</v>
      </c>
      <c r="AT104" s="86" t="str">
        <f>HYPERLINK("https://www.youtube.com/channel/UCMWGGmBVTeoQWR7Z5FdA6jg")</f>
        <v>https://www.youtube.com/channel/UCMWGGmBVTeoQWR7Z5FdA6jg</v>
      </c>
      <c r="AU104" s="81" t="str">
        <f>REPLACE(INDEX(GroupVertices[Group],MATCH("~"&amp;Vertices[[#This Row],[Vertex]],GroupVertices[Vertex],0)),1,1,"")</f>
        <v>6</v>
      </c>
      <c r="AV104" s="49"/>
      <c r="AW104" s="49"/>
      <c r="AX104" s="49"/>
      <c r="AY104" s="49"/>
      <c r="AZ104" s="49"/>
      <c r="BA104" s="49"/>
      <c r="BB104" s="117" t="s">
        <v>3758</v>
      </c>
      <c r="BC104" s="117" t="s">
        <v>3758</v>
      </c>
      <c r="BD104" s="117" t="s">
        <v>2423</v>
      </c>
      <c r="BE104" s="117" t="s">
        <v>2423</v>
      </c>
      <c r="BF104" s="2"/>
      <c r="BG104" s="3"/>
      <c r="BH104" s="3"/>
      <c r="BI104" s="3"/>
      <c r="BJ104" s="3"/>
    </row>
    <row r="105" spans="1:62" ht="15">
      <c r="A105" s="66" t="s">
        <v>284</v>
      </c>
      <c r="B105" s="67"/>
      <c r="C105" s="67"/>
      <c r="D105" s="68">
        <v>50</v>
      </c>
      <c r="E105" s="70"/>
      <c r="F105" s="105" t="str">
        <f>HYPERLINK("https://yt3.ggpht.com/ytc/AIf8zZTXRfSPsRzy2OxTNlOSrfTsTDXp5SpyVhbTwFBIPA=s88-c-k-c0x00ffffff-no-rj")</f>
        <v>https://yt3.ggpht.com/ytc/AIf8zZTXRfSPsRzy2OxTNlOSrfTsTDXp5SpyVhbTwFBIPA=s88-c-k-c0x00ffffff-no-rj</v>
      </c>
      <c r="G105" s="67"/>
      <c r="H105" s="71" t="s">
        <v>2513</v>
      </c>
      <c r="I105" s="72"/>
      <c r="J105" s="72" t="s">
        <v>159</v>
      </c>
      <c r="K105" s="71" t="s">
        <v>2513</v>
      </c>
      <c r="L105" s="75">
        <v>1</v>
      </c>
      <c r="M105" s="76">
        <v>5621.36767578125</v>
      </c>
      <c r="N105" s="76">
        <v>1350.562744140625</v>
      </c>
      <c r="O105" s="77"/>
      <c r="P105" s="78"/>
      <c r="Q105" s="78"/>
      <c r="R105" s="90"/>
      <c r="S105" s="49">
        <v>0</v>
      </c>
      <c r="T105" s="49">
        <v>1</v>
      </c>
      <c r="U105" s="50">
        <v>0</v>
      </c>
      <c r="V105" s="50">
        <v>0.255736</v>
      </c>
      <c r="W105" s="51"/>
      <c r="X105" s="51"/>
      <c r="Y105" s="51"/>
      <c r="Z105" s="50"/>
      <c r="AA105" s="73">
        <v>105</v>
      </c>
      <c r="AB105" s="73"/>
      <c r="AC105" s="74"/>
      <c r="AD105" s="81" t="s">
        <v>2513</v>
      </c>
      <c r="AE105" s="81"/>
      <c r="AF105" s="81"/>
      <c r="AG105" s="81"/>
      <c r="AH105" s="81"/>
      <c r="AI105" s="81" t="s">
        <v>3244</v>
      </c>
      <c r="AJ105" s="88">
        <v>39873.21513888889</v>
      </c>
      <c r="AK105" s="86" t="str">
        <f>HYPERLINK("https://yt3.ggpht.com/ytc/AIf8zZTXRfSPsRzy2OxTNlOSrfTsTDXp5SpyVhbTwFBIPA=s88-c-k-c0x00ffffff-no-rj")</f>
        <v>https://yt3.ggpht.com/ytc/AIf8zZTXRfSPsRzy2OxTNlOSrfTsTDXp5SpyVhbTwFBIPA=s88-c-k-c0x00ffffff-no-rj</v>
      </c>
      <c r="AL105" s="81">
        <v>0</v>
      </c>
      <c r="AM105" s="81">
        <v>0</v>
      </c>
      <c r="AN105" s="81">
        <v>30</v>
      </c>
      <c r="AO105" s="81" t="b">
        <v>0</v>
      </c>
      <c r="AP105" s="81">
        <v>0</v>
      </c>
      <c r="AQ105" s="81"/>
      <c r="AR105" s="81"/>
      <c r="AS105" s="81" t="s">
        <v>3378</v>
      </c>
      <c r="AT105" s="86" t="str">
        <f>HYPERLINK("https://www.youtube.com/channel/UCQxhDTqT51NGwDSzkme6XPw")</f>
        <v>https://www.youtube.com/channel/UCQxhDTqT51NGwDSzkme6XPw</v>
      </c>
      <c r="AU105" s="81" t="str">
        <f>REPLACE(INDEX(GroupVertices[Group],MATCH("~"&amp;Vertices[[#This Row],[Vertex]],GroupVertices[Vertex],0)),1,1,"")</f>
        <v>6</v>
      </c>
      <c r="AV105" s="49"/>
      <c r="AW105" s="49"/>
      <c r="AX105" s="49"/>
      <c r="AY105" s="49"/>
      <c r="AZ105" s="49"/>
      <c r="BA105" s="49"/>
      <c r="BB105" s="117" t="s">
        <v>3759</v>
      </c>
      <c r="BC105" s="117" t="s">
        <v>3759</v>
      </c>
      <c r="BD105" s="117" t="s">
        <v>4460</v>
      </c>
      <c r="BE105" s="117" t="s">
        <v>4460</v>
      </c>
      <c r="BF105" s="2"/>
      <c r="BG105" s="3"/>
      <c r="BH105" s="3"/>
      <c r="BI105" s="3"/>
      <c r="BJ105" s="3"/>
    </row>
    <row r="106" spans="1:62" ht="15">
      <c r="A106" s="66" t="s">
        <v>285</v>
      </c>
      <c r="B106" s="67"/>
      <c r="C106" s="67"/>
      <c r="D106" s="68">
        <v>50</v>
      </c>
      <c r="E106" s="70"/>
      <c r="F106" s="105" t="str">
        <f>HYPERLINK("https://yt3.ggpht.com/ytc/AIf8zZTIJRJPB60ACk4trv-UR9G-BrGrmX3ktZb1HA=s88-c-k-c0x00ffffff-no-rj")</f>
        <v>https://yt3.ggpht.com/ytc/AIf8zZTIJRJPB60ACk4trv-UR9G-BrGrmX3ktZb1HA=s88-c-k-c0x00ffffff-no-rj</v>
      </c>
      <c r="G106" s="67"/>
      <c r="H106" s="71" t="s">
        <v>2514</v>
      </c>
      <c r="I106" s="72"/>
      <c r="J106" s="72" t="s">
        <v>159</v>
      </c>
      <c r="K106" s="71" t="s">
        <v>2514</v>
      </c>
      <c r="L106" s="75">
        <v>1</v>
      </c>
      <c r="M106" s="76">
        <v>5403.59375</v>
      </c>
      <c r="N106" s="76">
        <v>1075.1402587890625</v>
      </c>
      <c r="O106" s="77"/>
      <c r="P106" s="78"/>
      <c r="Q106" s="78"/>
      <c r="R106" s="90"/>
      <c r="S106" s="49">
        <v>0</v>
      </c>
      <c r="T106" s="49">
        <v>1</v>
      </c>
      <c r="U106" s="50">
        <v>0</v>
      </c>
      <c r="V106" s="50">
        <v>0.255736</v>
      </c>
      <c r="W106" s="51"/>
      <c r="X106" s="51"/>
      <c r="Y106" s="51"/>
      <c r="Z106" s="50"/>
      <c r="AA106" s="73">
        <v>106</v>
      </c>
      <c r="AB106" s="73"/>
      <c r="AC106" s="74"/>
      <c r="AD106" s="81" t="s">
        <v>2514</v>
      </c>
      <c r="AE106" s="81"/>
      <c r="AF106" s="81"/>
      <c r="AG106" s="81"/>
      <c r="AH106" s="81"/>
      <c r="AI106" s="81" t="s">
        <v>1751</v>
      </c>
      <c r="AJ106" s="88">
        <v>41214.92568287037</v>
      </c>
      <c r="AK106" s="86" t="str">
        <f>HYPERLINK("https://yt3.ggpht.com/ytc/AIf8zZTIJRJPB60ACk4trv-UR9G-BrGrmX3ktZb1HA=s88-c-k-c0x00ffffff-no-rj")</f>
        <v>https://yt3.ggpht.com/ytc/AIf8zZTIJRJPB60ACk4trv-UR9G-BrGrmX3ktZb1HA=s88-c-k-c0x00ffffff-no-rj</v>
      </c>
      <c r="AL106" s="81">
        <v>0</v>
      </c>
      <c r="AM106" s="81">
        <v>0</v>
      </c>
      <c r="AN106" s="81">
        <v>0</v>
      </c>
      <c r="AO106" s="81" t="b">
        <v>0</v>
      </c>
      <c r="AP106" s="81">
        <v>0</v>
      </c>
      <c r="AQ106" s="81"/>
      <c r="AR106" s="81"/>
      <c r="AS106" s="81" t="s">
        <v>3378</v>
      </c>
      <c r="AT106" s="86" t="str">
        <f>HYPERLINK("https://www.youtube.com/channel/UCm0hEJxQo_2Nk9tIWmAbLWA")</f>
        <v>https://www.youtube.com/channel/UCm0hEJxQo_2Nk9tIWmAbLWA</v>
      </c>
      <c r="AU106" s="81" t="str">
        <f>REPLACE(INDEX(GroupVertices[Group],MATCH("~"&amp;Vertices[[#This Row],[Vertex]],GroupVertices[Vertex],0)),1,1,"")</f>
        <v>6</v>
      </c>
      <c r="AV106" s="49"/>
      <c r="AW106" s="49"/>
      <c r="AX106" s="49"/>
      <c r="AY106" s="49"/>
      <c r="AZ106" s="49"/>
      <c r="BA106" s="49"/>
      <c r="BB106" s="117" t="s">
        <v>3760</v>
      </c>
      <c r="BC106" s="117" t="s">
        <v>3760</v>
      </c>
      <c r="BD106" s="117" t="s">
        <v>4461</v>
      </c>
      <c r="BE106" s="117" t="s">
        <v>4461</v>
      </c>
      <c r="BF106" s="2"/>
      <c r="BG106" s="3"/>
      <c r="BH106" s="3"/>
      <c r="BI106" s="3"/>
      <c r="BJ106" s="3"/>
    </row>
    <row r="107" spans="1:62" ht="15">
      <c r="A107" s="66" t="s">
        <v>286</v>
      </c>
      <c r="B107" s="67"/>
      <c r="C107" s="67"/>
      <c r="D107" s="68">
        <v>50</v>
      </c>
      <c r="E107" s="70"/>
      <c r="F107" s="105" t="str">
        <f>HYPERLINK("https://yt3.ggpht.com/ytc/AIf8zZT4FXswI0VLNawAA2Bq_EZchwbjershhnLj7yG6=s88-c-k-c0x00ffffff-no-rj")</f>
        <v>https://yt3.ggpht.com/ytc/AIf8zZT4FXswI0VLNawAA2Bq_EZchwbjershhnLj7yG6=s88-c-k-c0x00ffffff-no-rj</v>
      </c>
      <c r="G107" s="67"/>
      <c r="H107" s="71" t="s">
        <v>2515</v>
      </c>
      <c r="I107" s="72"/>
      <c r="J107" s="72" t="s">
        <v>159</v>
      </c>
      <c r="K107" s="71" t="s">
        <v>2515</v>
      </c>
      <c r="L107" s="75">
        <v>1</v>
      </c>
      <c r="M107" s="76">
        <v>4543.8984375</v>
      </c>
      <c r="N107" s="76">
        <v>3356.44482421875</v>
      </c>
      <c r="O107" s="77"/>
      <c r="P107" s="78"/>
      <c r="Q107" s="78"/>
      <c r="R107" s="90"/>
      <c r="S107" s="49">
        <v>0</v>
      </c>
      <c r="T107" s="49">
        <v>1</v>
      </c>
      <c r="U107" s="50">
        <v>0</v>
      </c>
      <c r="V107" s="50">
        <v>0.255736</v>
      </c>
      <c r="W107" s="51"/>
      <c r="X107" s="51"/>
      <c r="Y107" s="51"/>
      <c r="Z107" s="50"/>
      <c r="AA107" s="73">
        <v>107</v>
      </c>
      <c r="AB107" s="73"/>
      <c r="AC107" s="74"/>
      <c r="AD107" s="81" t="s">
        <v>2515</v>
      </c>
      <c r="AE107" s="81"/>
      <c r="AF107" s="81"/>
      <c r="AG107" s="81"/>
      <c r="AH107" s="81"/>
      <c r="AI107" s="81" t="s">
        <v>1752</v>
      </c>
      <c r="AJ107" s="88">
        <v>40078.20517361111</v>
      </c>
      <c r="AK107" s="86" t="str">
        <f>HYPERLINK("https://yt3.ggpht.com/ytc/AIf8zZT4FXswI0VLNawAA2Bq_EZchwbjershhnLj7yG6=s88-c-k-c0x00ffffff-no-rj")</f>
        <v>https://yt3.ggpht.com/ytc/AIf8zZT4FXswI0VLNawAA2Bq_EZchwbjershhnLj7yG6=s88-c-k-c0x00ffffff-no-rj</v>
      </c>
      <c r="AL107" s="81">
        <v>6202</v>
      </c>
      <c r="AM107" s="81">
        <v>0</v>
      </c>
      <c r="AN107" s="81">
        <v>32</v>
      </c>
      <c r="AO107" s="81" t="b">
        <v>0</v>
      </c>
      <c r="AP107" s="81">
        <v>276</v>
      </c>
      <c r="AQ107" s="81"/>
      <c r="AR107" s="81"/>
      <c r="AS107" s="81" t="s">
        <v>3378</v>
      </c>
      <c r="AT107" s="86" t="str">
        <f>HYPERLINK("https://www.youtube.com/channel/UCvwt05p4825oOEKPJdpZ_Dg")</f>
        <v>https://www.youtube.com/channel/UCvwt05p4825oOEKPJdpZ_Dg</v>
      </c>
      <c r="AU107" s="81" t="str">
        <f>REPLACE(INDEX(GroupVertices[Group],MATCH("~"&amp;Vertices[[#This Row],[Vertex]],GroupVertices[Vertex],0)),1,1,"")</f>
        <v>6</v>
      </c>
      <c r="AV107" s="49"/>
      <c r="AW107" s="49"/>
      <c r="AX107" s="49"/>
      <c r="AY107" s="49"/>
      <c r="AZ107" s="49"/>
      <c r="BA107" s="49"/>
      <c r="BB107" s="117" t="s">
        <v>3761</v>
      </c>
      <c r="BC107" s="117" t="s">
        <v>3761</v>
      </c>
      <c r="BD107" s="117" t="s">
        <v>4462</v>
      </c>
      <c r="BE107" s="117" t="s">
        <v>4462</v>
      </c>
      <c r="BF107" s="2"/>
      <c r="BG107" s="3"/>
      <c r="BH107" s="3"/>
      <c r="BI107" s="3"/>
      <c r="BJ107" s="3"/>
    </row>
    <row r="108" spans="1:62" ht="15">
      <c r="A108" s="66" t="s">
        <v>287</v>
      </c>
      <c r="B108" s="67"/>
      <c r="C108" s="67"/>
      <c r="D108" s="68">
        <v>50</v>
      </c>
      <c r="E108" s="70"/>
      <c r="F108" s="105" t="str">
        <f>HYPERLINK("https://yt3.ggpht.com/ytc/AIf8zZTD7wZyqZkQeR7BYnuymsRWIhAlJC40iPZV_A=s88-c-k-c0x00ffffff-no-rj")</f>
        <v>https://yt3.ggpht.com/ytc/AIf8zZTD7wZyqZkQeR7BYnuymsRWIhAlJC40iPZV_A=s88-c-k-c0x00ffffff-no-rj</v>
      </c>
      <c r="G108" s="67"/>
      <c r="H108" s="71" t="s">
        <v>2516</v>
      </c>
      <c r="I108" s="72"/>
      <c r="J108" s="72" t="s">
        <v>159</v>
      </c>
      <c r="K108" s="71" t="s">
        <v>2516</v>
      </c>
      <c r="L108" s="75">
        <v>1</v>
      </c>
      <c r="M108" s="76">
        <v>5963.1083984375</v>
      </c>
      <c r="N108" s="76">
        <v>3280.51806640625</v>
      </c>
      <c r="O108" s="77"/>
      <c r="P108" s="78"/>
      <c r="Q108" s="78"/>
      <c r="R108" s="90"/>
      <c r="S108" s="49">
        <v>0</v>
      </c>
      <c r="T108" s="49">
        <v>1</v>
      </c>
      <c r="U108" s="50">
        <v>0</v>
      </c>
      <c r="V108" s="50">
        <v>0.255736</v>
      </c>
      <c r="W108" s="51"/>
      <c r="X108" s="51"/>
      <c r="Y108" s="51"/>
      <c r="Z108" s="50"/>
      <c r="AA108" s="73">
        <v>108</v>
      </c>
      <c r="AB108" s="73"/>
      <c r="AC108" s="74"/>
      <c r="AD108" s="81" t="s">
        <v>2516</v>
      </c>
      <c r="AE108" s="81"/>
      <c r="AF108" s="81"/>
      <c r="AG108" s="81"/>
      <c r="AH108" s="81"/>
      <c r="AI108" s="81" t="s">
        <v>1753</v>
      </c>
      <c r="AJ108" s="88">
        <v>43901.35239583333</v>
      </c>
      <c r="AK108" s="86" t="str">
        <f>HYPERLINK("https://yt3.ggpht.com/ytc/AIf8zZTD7wZyqZkQeR7BYnuymsRWIhAlJC40iPZV_A=s88-c-k-c0x00ffffff-no-rj")</f>
        <v>https://yt3.ggpht.com/ytc/AIf8zZTD7wZyqZkQeR7BYnuymsRWIhAlJC40iPZV_A=s88-c-k-c0x00ffffff-no-rj</v>
      </c>
      <c r="AL108" s="81">
        <v>793</v>
      </c>
      <c r="AM108" s="81">
        <v>0</v>
      </c>
      <c r="AN108" s="81">
        <v>9</v>
      </c>
      <c r="AO108" s="81" t="b">
        <v>0</v>
      </c>
      <c r="AP108" s="81">
        <v>2</v>
      </c>
      <c r="AQ108" s="81"/>
      <c r="AR108" s="81"/>
      <c r="AS108" s="81" t="s">
        <v>3378</v>
      </c>
      <c r="AT108" s="86" t="str">
        <f>HYPERLINK("https://www.youtube.com/channel/UCijSB9YT9E3EvVJzTcSU9TQ")</f>
        <v>https://www.youtube.com/channel/UCijSB9YT9E3EvVJzTcSU9TQ</v>
      </c>
      <c r="AU108" s="81" t="str">
        <f>REPLACE(INDEX(GroupVertices[Group],MATCH("~"&amp;Vertices[[#This Row],[Vertex]],GroupVertices[Vertex],0)),1,1,"")</f>
        <v>6</v>
      </c>
      <c r="AV108" s="49"/>
      <c r="AW108" s="49"/>
      <c r="AX108" s="49"/>
      <c r="AY108" s="49"/>
      <c r="AZ108" s="49"/>
      <c r="BA108" s="49"/>
      <c r="BB108" s="117" t="s">
        <v>3762</v>
      </c>
      <c r="BC108" s="117" t="s">
        <v>3762</v>
      </c>
      <c r="BD108" s="117" t="s">
        <v>4463</v>
      </c>
      <c r="BE108" s="117" t="s">
        <v>4463</v>
      </c>
      <c r="BF108" s="2"/>
      <c r="BG108" s="3"/>
      <c r="BH108" s="3"/>
      <c r="BI108" s="3"/>
      <c r="BJ108" s="3"/>
    </row>
    <row r="109" spans="1:62" ht="15">
      <c r="A109" s="66" t="s">
        <v>288</v>
      </c>
      <c r="B109" s="67"/>
      <c r="C109" s="67"/>
      <c r="D109" s="68">
        <v>50</v>
      </c>
      <c r="E109" s="70"/>
      <c r="F109" s="105" t="str">
        <f>HYPERLINK("https://yt3.ggpht.com/ytc/AIf8zZTIpqNZcBAuk_l6aGYVLtKh2T_RfomVJpR0zLmz=s88-c-k-c0x00ffffff-no-rj")</f>
        <v>https://yt3.ggpht.com/ytc/AIf8zZTIpqNZcBAuk_l6aGYVLtKh2T_RfomVJpR0zLmz=s88-c-k-c0x00ffffff-no-rj</v>
      </c>
      <c r="G109" s="67"/>
      <c r="H109" s="71" t="s">
        <v>2517</v>
      </c>
      <c r="I109" s="72"/>
      <c r="J109" s="72" t="s">
        <v>159</v>
      </c>
      <c r="K109" s="71" t="s">
        <v>2517</v>
      </c>
      <c r="L109" s="75">
        <v>1</v>
      </c>
      <c r="M109" s="76">
        <v>5713.8212890625</v>
      </c>
      <c r="N109" s="76">
        <v>993.3985595703125</v>
      </c>
      <c r="O109" s="77"/>
      <c r="P109" s="78"/>
      <c r="Q109" s="78"/>
      <c r="R109" s="90"/>
      <c r="S109" s="49">
        <v>0</v>
      </c>
      <c r="T109" s="49">
        <v>1</v>
      </c>
      <c r="U109" s="50">
        <v>0</v>
      </c>
      <c r="V109" s="50">
        <v>0.255736</v>
      </c>
      <c r="W109" s="51"/>
      <c r="X109" s="51"/>
      <c r="Y109" s="51"/>
      <c r="Z109" s="50"/>
      <c r="AA109" s="73">
        <v>109</v>
      </c>
      <c r="AB109" s="73"/>
      <c r="AC109" s="74"/>
      <c r="AD109" s="81" t="s">
        <v>2517</v>
      </c>
      <c r="AE109" s="81"/>
      <c r="AF109" s="81"/>
      <c r="AG109" s="81"/>
      <c r="AH109" s="81"/>
      <c r="AI109" s="81" t="s">
        <v>1754</v>
      </c>
      <c r="AJ109" s="88">
        <v>43912.22221064815</v>
      </c>
      <c r="AK109" s="86" t="str">
        <f>HYPERLINK("https://yt3.ggpht.com/ytc/AIf8zZTIpqNZcBAuk_l6aGYVLtKh2T_RfomVJpR0zLmz=s88-c-k-c0x00ffffff-no-rj")</f>
        <v>https://yt3.ggpht.com/ytc/AIf8zZTIpqNZcBAuk_l6aGYVLtKh2T_RfomVJpR0zLmz=s88-c-k-c0x00ffffff-no-rj</v>
      </c>
      <c r="AL109" s="81">
        <v>0</v>
      </c>
      <c r="AM109" s="81">
        <v>0</v>
      </c>
      <c r="AN109" s="81">
        <v>12</v>
      </c>
      <c r="AO109" s="81" t="b">
        <v>0</v>
      </c>
      <c r="AP109" s="81">
        <v>0</v>
      </c>
      <c r="AQ109" s="81"/>
      <c r="AR109" s="81"/>
      <c r="AS109" s="81" t="s">
        <v>3378</v>
      </c>
      <c r="AT109" s="86" t="str">
        <f>HYPERLINK("https://www.youtube.com/channel/UCvzWdfNMZjMrxp1j4W3v3yg")</f>
        <v>https://www.youtube.com/channel/UCvzWdfNMZjMrxp1j4W3v3yg</v>
      </c>
      <c r="AU109" s="81" t="str">
        <f>REPLACE(INDEX(GroupVertices[Group],MATCH("~"&amp;Vertices[[#This Row],[Vertex]],GroupVertices[Vertex],0)),1,1,"")</f>
        <v>6</v>
      </c>
      <c r="AV109" s="49"/>
      <c r="AW109" s="49"/>
      <c r="AX109" s="49"/>
      <c r="AY109" s="49"/>
      <c r="AZ109" s="49"/>
      <c r="BA109" s="49"/>
      <c r="BB109" s="117" t="s">
        <v>3763</v>
      </c>
      <c r="BC109" s="117" t="s">
        <v>3763</v>
      </c>
      <c r="BD109" s="117" t="s">
        <v>4464</v>
      </c>
      <c r="BE109" s="117" t="s">
        <v>4464</v>
      </c>
      <c r="BF109" s="2"/>
      <c r="BG109" s="3"/>
      <c r="BH109" s="3"/>
      <c r="BI109" s="3"/>
      <c r="BJ109" s="3"/>
    </row>
    <row r="110" spans="1:62" ht="15">
      <c r="A110" s="66" t="s">
        <v>289</v>
      </c>
      <c r="B110" s="67"/>
      <c r="C110" s="67"/>
      <c r="D110" s="68">
        <v>50</v>
      </c>
      <c r="E110" s="70"/>
      <c r="F110" s="105" t="str">
        <f>HYPERLINK("https://yt3.ggpht.com/ytc/AIf8zZTZI8dk2VyRj62SagCtXzNgMZcwjfHJj8DfUaScg5U=s88-c-k-c0x00ffffff-no-rj")</f>
        <v>https://yt3.ggpht.com/ytc/AIf8zZTZI8dk2VyRj62SagCtXzNgMZcwjfHJj8DfUaScg5U=s88-c-k-c0x00ffffff-no-rj</v>
      </c>
      <c r="G110" s="67"/>
      <c r="H110" s="71" t="s">
        <v>2518</v>
      </c>
      <c r="I110" s="72"/>
      <c r="J110" s="72" t="s">
        <v>159</v>
      </c>
      <c r="K110" s="71" t="s">
        <v>2518</v>
      </c>
      <c r="L110" s="75">
        <v>1</v>
      </c>
      <c r="M110" s="76">
        <v>4322.3779296875</v>
      </c>
      <c r="N110" s="76">
        <v>1186.2578125</v>
      </c>
      <c r="O110" s="77"/>
      <c r="P110" s="78"/>
      <c r="Q110" s="78"/>
      <c r="R110" s="90"/>
      <c r="S110" s="49">
        <v>0</v>
      </c>
      <c r="T110" s="49">
        <v>1</v>
      </c>
      <c r="U110" s="50">
        <v>0</v>
      </c>
      <c r="V110" s="50">
        <v>0.255736</v>
      </c>
      <c r="W110" s="51"/>
      <c r="X110" s="51"/>
      <c r="Y110" s="51"/>
      <c r="Z110" s="50"/>
      <c r="AA110" s="73">
        <v>110</v>
      </c>
      <c r="AB110" s="73"/>
      <c r="AC110" s="74"/>
      <c r="AD110" s="81" t="s">
        <v>2518</v>
      </c>
      <c r="AE110" s="81"/>
      <c r="AF110" s="81"/>
      <c r="AG110" s="81"/>
      <c r="AH110" s="81"/>
      <c r="AI110" s="81" t="s">
        <v>1755</v>
      </c>
      <c r="AJ110" s="88">
        <v>42222.70247685185</v>
      </c>
      <c r="AK110" s="86" t="str">
        <f>HYPERLINK("https://yt3.ggpht.com/ytc/AIf8zZTZI8dk2VyRj62SagCtXzNgMZcwjfHJj8DfUaScg5U=s88-c-k-c0x00ffffff-no-rj")</f>
        <v>https://yt3.ggpht.com/ytc/AIf8zZTZI8dk2VyRj62SagCtXzNgMZcwjfHJj8DfUaScg5U=s88-c-k-c0x00ffffff-no-rj</v>
      </c>
      <c r="AL110" s="81">
        <v>2700</v>
      </c>
      <c r="AM110" s="81">
        <v>0</v>
      </c>
      <c r="AN110" s="81">
        <v>14</v>
      </c>
      <c r="AO110" s="81" t="b">
        <v>0</v>
      </c>
      <c r="AP110" s="81">
        <v>58</v>
      </c>
      <c r="AQ110" s="81"/>
      <c r="AR110" s="81"/>
      <c r="AS110" s="81" t="s">
        <v>3378</v>
      </c>
      <c r="AT110" s="86" t="str">
        <f>HYPERLINK("https://www.youtube.com/channel/UCLUy8FkvhOY7aKhXpWlbnUg")</f>
        <v>https://www.youtube.com/channel/UCLUy8FkvhOY7aKhXpWlbnUg</v>
      </c>
      <c r="AU110" s="81" t="str">
        <f>REPLACE(INDEX(GroupVertices[Group],MATCH("~"&amp;Vertices[[#This Row],[Vertex]],GroupVertices[Vertex],0)),1,1,"")</f>
        <v>6</v>
      </c>
      <c r="AV110" s="49"/>
      <c r="AW110" s="49"/>
      <c r="AX110" s="49"/>
      <c r="AY110" s="49"/>
      <c r="AZ110" s="49"/>
      <c r="BA110" s="49"/>
      <c r="BB110" s="117" t="s">
        <v>3764</v>
      </c>
      <c r="BC110" s="117" t="s">
        <v>3764</v>
      </c>
      <c r="BD110" s="117" t="s">
        <v>4465</v>
      </c>
      <c r="BE110" s="117" t="s">
        <v>4465</v>
      </c>
      <c r="BF110" s="2"/>
      <c r="BG110" s="3"/>
      <c r="BH110" s="3"/>
      <c r="BI110" s="3"/>
      <c r="BJ110" s="3"/>
    </row>
    <row r="111" spans="1:62" ht="15">
      <c r="A111" s="66" t="s">
        <v>290</v>
      </c>
      <c r="B111" s="67"/>
      <c r="C111" s="67"/>
      <c r="D111" s="68">
        <v>50</v>
      </c>
      <c r="E111" s="70"/>
      <c r="F111" s="105" t="str">
        <f>HYPERLINK("https://yt3.ggpht.com/ytc/AIf8zZQK5CyXYGp4UkBUA4Dp5vgPgPr5O-sFBvAk-00UEQ=s88-c-k-c0x00ffffff-no-rj")</f>
        <v>https://yt3.ggpht.com/ytc/AIf8zZQK5CyXYGp4UkBUA4Dp5vgPgPr5O-sFBvAk-00UEQ=s88-c-k-c0x00ffffff-no-rj</v>
      </c>
      <c r="G111" s="67"/>
      <c r="H111" s="71" t="s">
        <v>2519</v>
      </c>
      <c r="I111" s="72"/>
      <c r="J111" s="72" t="s">
        <v>159</v>
      </c>
      <c r="K111" s="71" t="s">
        <v>2519</v>
      </c>
      <c r="L111" s="75">
        <v>1</v>
      </c>
      <c r="M111" s="76">
        <v>5881.8408203125</v>
      </c>
      <c r="N111" s="76">
        <v>1717.5008544921875</v>
      </c>
      <c r="O111" s="77"/>
      <c r="P111" s="78"/>
      <c r="Q111" s="78"/>
      <c r="R111" s="90"/>
      <c r="S111" s="49">
        <v>0</v>
      </c>
      <c r="T111" s="49">
        <v>1</v>
      </c>
      <c r="U111" s="50">
        <v>0</v>
      </c>
      <c r="V111" s="50">
        <v>0.255736</v>
      </c>
      <c r="W111" s="51"/>
      <c r="X111" s="51"/>
      <c r="Y111" s="51"/>
      <c r="Z111" s="50"/>
      <c r="AA111" s="73">
        <v>111</v>
      </c>
      <c r="AB111" s="73"/>
      <c r="AC111" s="74"/>
      <c r="AD111" s="81" t="s">
        <v>2519</v>
      </c>
      <c r="AE111" s="81" t="s">
        <v>3144</v>
      </c>
      <c r="AF111" s="81"/>
      <c r="AG111" s="81"/>
      <c r="AH111" s="81"/>
      <c r="AI111" s="81" t="s">
        <v>1756</v>
      </c>
      <c r="AJ111" s="88">
        <v>42885.700266203705</v>
      </c>
      <c r="AK111" s="86" t="str">
        <f>HYPERLINK("https://yt3.ggpht.com/ytc/AIf8zZQK5CyXYGp4UkBUA4Dp5vgPgPr5O-sFBvAk-00UEQ=s88-c-k-c0x00ffffff-no-rj")</f>
        <v>https://yt3.ggpht.com/ytc/AIf8zZQK5CyXYGp4UkBUA4Dp5vgPgPr5O-sFBvAk-00UEQ=s88-c-k-c0x00ffffff-no-rj</v>
      </c>
      <c r="AL111" s="81">
        <v>237765</v>
      </c>
      <c r="AM111" s="81">
        <v>0</v>
      </c>
      <c r="AN111" s="81">
        <v>565</v>
      </c>
      <c r="AO111" s="81" t="b">
        <v>0</v>
      </c>
      <c r="AP111" s="81">
        <v>1210</v>
      </c>
      <c r="AQ111" s="81"/>
      <c r="AR111" s="81"/>
      <c r="AS111" s="81" t="s">
        <v>3378</v>
      </c>
      <c r="AT111" s="86" t="str">
        <f>HYPERLINK("https://www.youtube.com/channel/UCsCGZxNee3KgHEQRsC6zhqA")</f>
        <v>https://www.youtube.com/channel/UCsCGZxNee3KgHEQRsC6zhqA</v>
      </c>
      <c r="AU111" s="81" t="str">
        <f>REPLACE(INDEX(GroupVertices[Group],MATCH("~"&amp;Vertices[[#This Row],[Vertex]],GroupVertices[Vertex],0)),1,1,"")</f>
        <v>6</v>
      </c>
      <c r="AV111" s="49"/>
      <c r="AW111" s="49"/>
      <c r="AX111" s="49"/>
      <c r="AY111" s="49"/>
      <c r="AZ111" s="49"/>
      <c r="BA111" s="49"/>
      <c r="BB111" s="117" t="s">
        <v>3765</v>
      </c>
      <c r="BC111" s="117" t="s">
        <v>3765</v>
      </c>
      <c r="BD111" s="117" t="s">
        <v>4466</v>
      </c>
      <c r="BE111" s="117" t="s">
        <v>4466</v>
      </c>
      <c r="BF111" s="2"/>
      <c r="BG111" s="3"/>
      <c r="BH111" s="3"/>
      <c r="BI111" s="3"/>
      <c r="BJ111" s="3"/>
    </row>
    <row r="112" spans="1:62" ht="15">
      <c r="A112" s="66" t="s">
        <v>291</v>
      </c>
      <c r="B112" s="67"/>
      <c r="C112" s="67"/>
      <c r="D112" s="68">
        <v>50</v>
      </c>
      <c r="E112" s="70"/>
      <c r="F112" s="105" t="str">
        <f>HYPERLINK("https://yt3.ggpht.com/-quEUAtKtWeY-qdAvbCL7uGx8M0bmIAmWeztBkH5i2-_gJBIYIHOoLky4UXqXdj9uJhc_eLVRqU=s88-c-k-c0x00ffffff-no-rj")</f>
        <v>https://yt3.ggpht.com/-quEUAtKtWeY-qdAvbCL7uGx8M0bmIAmWeztBkH5i2-_gJBIYIHOoLky4UXqXdj9uJhc_eLVRqU=s88-c-k-c0x00ffffff-no-rj</v>
      </c>
      <c r="G112" s="67"/>
      <c r="H112" s="71" t="s">
        <v>2520</v>
      </c>
      <c r="I112" s="72"/>
      <c r="J112" s="72" t="s">
        <v>159</v>
      </c>
      <c r="K112" s="71" t="s">
        <v>2520</v>
      </c>
      <c r="L112" s="75">
        <v>1</v>
      </c>
      <c r="M112" s="76">
        <v>5768.03759765625</v>
      </c>
      <c r="N112" s="76">
        <v>3273.216064453125</v>
      </c>
      <c r="O112" s="77"/>
      <c r="P112" s="78"/>
      <c r="Q112" s="78"/>
      <c r="R112" s="90"/>
      <c r="S112" s="49">
        <v>0</v>
      </c>
      <c r="T112" s="49">
        <v>1</v>
      </c>
      <c r="U112" s="50">
        <v>0</v>
      </c>
      <c r="V112" s="50">
        <v>0.255736</v>
      </c>
      <c r="W112" s="51"/>
      <c r="X112" s="51"/>
      <c r="Y112" s="51"/>
      <c r="Z112" s="50"/>
      <c r="AA112" s="73">
        <v>112</v>
      </c>
      <c r="AB112" s="73"/>
      <c r="AC112" s="74"/>
      <c r="AD112" s="81" t="s">
        <v>2520</v>
      </c>
      <c r="AE112" s="81"/>
      <c r="AF112" s="81"/>
      <c r="AG112" s="81"/>
      <c r="AH112" s="81"/>
      <c r="AI112" s="81" t="s">
        <v>3245</v>
      </c>
      <c r="AJ112" s="88">
        <v>42551.867789351854</v>
      </c>
      <c r="AK112" s="86" t="str">
        <f>HYPERLINK("https://yt3.ggpht.com/-quEUAtKtWeY-qdAvbCL7uGx8M0bmIAmWeztBkH5i2-_gJBIYIHOoLky4UXqXdj9uJhc_eLVRqU=s88-c-k-c0x00ffffff-no-rj")</f>
        <v>https://yt3.ggpht.com/-quEUAtKtWeY-qdAvbCL7uGx8M0bmIAmWeztBkH5i2-_gJBIYIHOoLky4UXqXdj9uJhc_eLVRqU=s88-c-k-c0x00ffffff-no-rj</v>
      </c>
      <c r="AL112" s="81">
        <v>379</v>
      </c>
      <c r="AM112" s="81">
        <v>0</v>
      </c>
      <c r="AN112" s="81">
        <v>1</v>
      </c>
      <c r="AO112" s="81" t="b">
        <v>0</v>
      </c>
      <c r="AP112" s="81">
        <v>1</v>
      </c>
      <c r="AQ112" s="81"/>
      <c r="AR112" s="81"/>
      <c r="AS112" s="81" t="s">
        <v>3378</v>
      </c>
      <c r="AT112" s="86" t="str">
        <f>HYPERLINK("https://www.youtube.com/channel/UCSMj08PhzBpviwzNtmjS0wQ")</f>
        <v>https://www.youtube.com/channel/UCSMj08PhzBpviwzNtmjS0wQ</v>
      </c>
      <c r="AU112" s="81" t="str">
        <f>REPLACE(INDEX(GroupVertices[Group],MATCH("~"&amp;Vertices[[#This Row],[Vertex]],GroupVertices[Vertex],0)),1,1,"")</f>
        <v>6</v>
      </c>
      <c r="AV112" s="49"/>
      <c r="AW112" s="49"/>
      <c r="AX112" s="49"/>
      <c r="AY112" s="49"/>
      <c r="AZ112" s="49"/>
      <c r="BA112" s="49"/>
      <c r="BB112" s="117" t="s">
        <v>1000</v>
      </c>
      <c r="BC112" s="117" t="s">
        <v>1000</v>
      </c>
      <c r="BD112" s="117" t="s">
        <v>4467</v>
      </c>
      <c r="BE112" s="117" t="s">
        <v>4467</v>
      </c>
      <c r="BF112" s="2"/>
      <c r="BG112" s="3"/>
      <c r="BH112" s="3"/>
      <c r="BI112" s="3"/>
      <c r="BJ112" s="3"/>
    </row>
    <row r="113" spans="1:62" ht="15">
      <c r="A113" s="66" t="s">
        <v>292</v>
      </c>
      <c r="B113" s="67"/>
      <c r="C113" s="67"/>
      <c r="D113" s="68">
        <v>50</v>
      </c>
      <c r="E113" s="70"/>
      <c r="F113" s="105" t="str">
        <f>HYPERLINK("https://yt3.ggpht.com/ytc/AIf8zZSerGcFQAcPztkfREsJvukw9fpUZb4_vOQSuiBJDw=s88-c-k-c0x00ffffff-no-rj")</f>
        <v>https://yt3.ggpht.com/ytc/AIf8zZSerGcFQAcPztkfREsJvukw9fpUZb4_vOQSuiBJDw=s88-c-k-c0x00ffffff-no-rj</v>
      </c>
      <c r="G113" s="67"/>
      <c r="H113" s="71" t="s">
        <v>2521</v>
      </c>
      <c r="I113" s="72"/>
      <c r="J113" s="72" t="s">
        <v>159</v>
      </c>
      <c r="K113" s="71" t="s">
        <v>2521</v>
      </c>
      <c r="L113" s="75">
        <v>1</v>
      </c>
      <c r="M113" s="76">
        <v>4467.15234375</v>
      </c>
      <c r="N113" s="76">
        <v>2511.943359375</v>
      </c>
      <c r="O113" s="77"/>
      <c r="P113" s="78"/>
      <c r="Q113" s="78"/>
      <c r="R113" s="90"/>
      <c r="S113" s="49">
        <v>0</v>
      </c>
      <c r="T113" s="49">
        <v>1</v>
      </c>
      <c r="U113" s="50">
        <v>0</v>
      </c>
      <c r="V113" s="50">
        <v>0.255736</v>
      </c>
      <c r="W113" s="51"/>
      <c r="X113" s="51"/>
      <c r="Y113" s="51"/>
      <c r="Z113" s="50"/>
      <c r="AA113" s="73">
        <v>113</v>
      </c>
      <c r="AB113" s="73"/>
      <c r="AC113" s="74"/>
      <c r="AD113" s="81" t="s">
        <v>2521</v>
      </c>
      <c r="AE113" s="81"/>
      <c r="AF113" s="81"/>
      <c r="AG113" s="81"/>
      <c r="AH113" s="81"/>
      <c r="AI113" s="81" t="s">
        <v>1758</v>
      </c>
      <c r="AJ113" s="88">
        <v>42629.584027777775</v>
      </c>
      <c r="AK113" s="86" t="str">
        <f>HYPERLINK("https://yt3.ggpht.com/ytc/AIf8zZSerGcFQAcPztkfREsJvukw9fpUZb4_vOQSuiBJDw=s88-c-k-c0x00ffffff-no-rj")</f>
        <v>https://yt3.ggpht.com/ytc/AIf8zZSerGcFQAcPztkfREsJvukw9fpUZb4_vOQSuiBJDw=s88-c-k-c0x00ffffff-no-rj</v>
      </c>
      <c r="AL113" s="81">
        <v>0</v>
      </c>
      <c r="AM113" s="81">
        <v>0</v>
      </c>
      <c r="AN113" s="81">
        <v>0</v>
      </c>
      <c r="AO113" s="81" t="b">
        <v>0</v>
      </c>
      <c r="AP113" s="81">
        <v>0</v>
      </c>
      <c r="AQ113" s="81"/>
      <c r="AR113" s="81"/>
      <c r="AS113" s="81" t="s">
        <v>3378</v>
      </c>
      <c r="AT113" s="86" t="str">
        <f>HYPERLINK("https://www.youtube.com/channel/UCNDc56OwFGEtaLrQKqoQakQ")</f>
        <v>https://www.youtube.com/channel/UCNDc56OwFGEtaLrQKqoQakQ</v>
      </c>
      <c r="AU113" s="81" t="str">
        <f>REPLACE(INDEX(GroupVertices[Group],MATCH("~"&amp;Vertices[[#This Row],[Vertex]],GroupVertices[Vertex],0)),1,1,"")</f>
        <v>6</v>
      </c>
      <c r="AV113" s="49"/>
      <c r="AW113" s="49"/>
      <c r="AX113" s="49"/>
      <c r="AY113" s="49"/>
      <c r="AZ113" s="49"/>
      <c r="BA113" s="49"/>
      <c r="BB113" s="117" t="s">
        <v>3766</v>
      </c>
      <c r="BC113" s="117" t="s">
        <v>3766</v>
      </c>
      <c r="BD113" s="117" t="s">
        <v>4468</v>
      </c>
      <c r="BE113" s="117" t="s">
        <v>4468</v>
      </c>
      <c r="BF113" s="2"/>
      <c r="BG113" s="3"/>
      <c r="BH113" s="3"/>
      <c r="BI113" s="3"/>
      <c r="BJ113" s="3"/>
    </row>
    <row r="114" spans="1:62" ht="15">
      <c r="A114" s="66" t="s">
        <v>293</v>
      </c>
      <c r="B114" s="67"/>
      <c r="C114" s="67"/>
      <c r="D114" s="68">
        <v>50</v>
      </c>
      <c r="E114" s="70"/>
      <c r="F114" s="105" t="str">
        <f>HYPERLINK("https://yt3.ggpht.com/ytc/AIf8zZRlYy3BkoCpT4m0CEpQZEpqsP-_piQVvavGpg=s88-c-k-c0x00ffffff-no-rj")</f>
        <v>https://yt3.ggpht.com/ytc/AIf8zZRlYy3BkoCpT4m0CEpQZEpqsP-_piQVvavGpg=s88-c-k-c0x00ffffff-no-rj</v>
      </c>
      <c r="G114" s="67"/>
      <c r="H114" s="71" t="s">
        <v>2522</v>
      </c>
      <c r="I114" s="72"/>
      <c r="J114" s="72" t="s">
        <v>159</v>
      </c>
      <c r="K114" s="71" t="s">
        <v>2522</v>
      </c>
      <c r="L114" s="75">
        <v>1</v>
      </c>
      <c r="M114" s="76">
        <v>4827.37939453125</v>
      </c>
      <c r="N114" s="76">
        <v>1866.9271240234375</v>
      </c>
      <c r="O114" s="77"/>
      <c r="P114" s="78"/>
      <c r="Q114" s="78"/>
      <c r="R114" s="90"/>
      <c r="S114" s="49">
        <v>0</v>
      </c>
      <c r="T114" s="49">
        <v>1</v>
      </c>
      <c r="U114" s="50">
        <v>0</v>
      </c>
      <c r="V114" s="50">
        <v>0.255736</v>
      </c>
      <c r="W114" s="51"/>
      <c r="X114" s="51"/>
      <c r="Y114" s="51"/>
      <c r="Z114" s="50"/>
      <c r="AA114" s="73">
        <v>114</v>
      </c>
      <c r="AB114" s="73"/>
      <c r="AC114" s="74"/>
      <c r="AD114" s="81" t="s">
        <v>2522</v>
      </c>
      <c r="AE114" s="81"/>
      <c r="AF114" s="81"/>
      <c r="AG114" s="81"/>
      <c r="AH114" s="81"/>
      <c r="AI114" s="81" t="s">
        <v>1759</v>
      </c>
      <c r="AJ114" s="88">
        <v>44049.025509259256</v>
      </c>
      <c r="AK114" s="86" t="str">
        <f>HYPERLINK("https://yt3.ggpht.com/ytc/AIf8zZRlYy3BkoCpT4m0CEpQZEpqsP-_piQVvavGpg=s88-c-k-c0x00ffffff-no-rj")</f>
        <v>https://yt3.ggpht.com/ytc/AIf8zZRlYy3BkoCpT4m0CEpQZEpqsP-_piQVvavGpg=s88-c-k-c0x00ffffff-no-rj</v>
      </c>
      <c r="AL114" s="81">
        <v>0</v>
      </c>
      <c r="AM114" s="81">
        <v>0</v>
      </c>
      <c r="AN114" s="81">
        <v>0</v>
      </c>
      <c r="AO114" s="81" t="b">
        <v>0</v>
      </c>
      <c r="AP114" s="81">
        <v>0</v>
      </c>
      <c r="AQ114" s="81"/>
      <c r="AR114" s="81"/>
      <c r="AS114" s="81" t="s">
        <v>3378</v>
      </c>
      <c r="AT114" s="86" t="str">
        <f>HYPERLINK("https://www.youtube.com/channel/UC5pYFvX9zfsdOFDSn6Hy14g")</f>
        <v>https://www.youtube.com/channel/UC5pYFvX9zfsdOFDSn6Hy14g</v>
      </c>
      <c r="AU114" s="81" t="str">
        <f>REPLACE(INDEX(GroupVertices[Group],MATCH("~"&amp;Vertices[[#This Row],[Vertex]],GroupVertices[Vertex],0)),1,1,"")</f>
        <v>6</v>
      </c>
      <c r="AV114" s="49"/>
      <c r="AW114" s="49"/>
      <c r="AX114" s="49"/>
      <c r="AY114" s="49"/>
      <c r="AZ114" s="49"/>
      <c r="BA114" s="49"/>
      <c r="BB114" s="117" t="s">
        <v>3767</v>
      </c>
      <c r="BC114" s="117" t="s">
        <v>3767</v>
      </c>
      <c r="BD114" s="117" t="s">
        <v>4469</v>
      </c>
      <c r="BE114" s="117" t="s">
        <v>4469</v>
      </c>
      <c r="BF114" s="2"/>
      <c r="BG114" s="3"/>
      <c r="BH114" s="3"/>
      <c r="BI114" s="3"/>
      <c r="BJ114" s="3"/>
    </row>
    <row r="115" spans="1:62" ht="15">
      <c r="A115" s="66" t="s">
        <v>294</v>
      </c>
      <c r="B115" s="67"/>
      <c r="C115" s="67"/>
      <c r="D115" s="68">
        <v>50</v>
      </c>
      <c r="E115" s="70"/>
      <c r="F115" s="105" t="str">
        <f>HYPERLINK("https://yt3.ggpht.com/rsLcK_Sd9F-lLwjI7k7k2_fe1BcGn8X_MtCAXYzNGedEdYhSYkyLIkzhKiHdKsOrXd3FKjTP=s88-c-k-c0x00ffffff-no-rj")</f>
        <v>https://yt3.ggpht.com/rsLcK_Sd9F-lLwjI7k7k2_fe1BcGn8X_MtCAXYzNGedEdYhSYkyLIkzhKiHdKsOrXd3FKjTP=s88-c-k-c0x00ffffff-no-rj</v>
      </c>
      <c r="G115" s="67"/>
      <c r="H115" s="71" t="s">
        <v>2523</v>
      </c>
      <c r="I115" s="72"/>
      <c r="J115" s="72" t="s">
        <v>159</v>
      </c>
      <c r="K115" s="71" t="s">
        <v>2523</v>
      </c>
      <c r="L115" s="75">
        <v>1</v>
      </c>
      <c r="M115" s="76">
        <v>4944.68408203125</v>
      </c>
      <c r="N115" s="76">
        <v>364.4606628417969</v>
      </c>
      <c r="O115" s="77"/>
      <c r="P115" s="78"/>
      <c r="Q115" s="78"/>
      <c r="R115" s="90"/>
      <c r="S115" s="49">
        <v>0</v>
      </c>
      <c r="T115" s="49">
        <v>1</v>
      </c>
      <c r="U115" s="50">
        <v>0</v>
      </c>
      <c r="V115" s="50">
        <v>0.255736</v>
      </c>
      <c r="W115" s="51"/>
      <c r="X115" s="51"/>
      <c r="Y115" s="51"/>
      <c r="Z115" s="50"/>
      <c r="AA115" s="73">
        <v>115</v>
      </c>
      <c r="AB115" s="73"/>
      <c r="AC115" s="74"/>
      <c r="AD115" s="81" t="s">
        <v>2523</v>
      </c>
      <c r="AE115" s="81"/>
      <c r="AF115" s="81"/>
      <c r="AG115" s="81"/>
      <c r="AH115" s="81"/>
      <c r="AI115" s="81" t="s">
        <v>1760</v>
      </c>
      <c r="AJ115" s="88">
        <v>44560.82680555555</v>
      </c>
      <c r="AK115" s="86" t="str">
        <f>HYPERLINK("https://yt3.ggpht.com/rsLcK_Sd9F-lLwjI7k7k2_fe1BcGn8X_MtCAXYzNGedEdYhSYkyLIkzhKiHdKsOrXd3FKjTP=s88-c-k-c0x00ffffff-no-rj")</f>
        <v>https://yt3.ggpht.com/rsLcK_Sd9F-lLwjI7k7k2_fe1BcGn8X_MtCAXYzNGedEdYhSYkyLIkzhKiHdKsOrXd3FKjTP=s88-c-k-c0x00ffffff-no-rj</v>
      </c>
      <c r="AL115" s="81">
        <v>0</v>
      </c>
      <c r="AM115" s="81">
        <v>0</v>
      </c>
      <c r="AN115" s="81">
        <v>1</v>
      </c>
      <c r="AO115" s="81" t="b">
        <v>0</v>
      </c>
      <c r="AP115" s="81">
        <v>0</v>
      </c>
      <c r="AQ115" s="81"/>
      <c r="AR115" s="81"/>
      <c r="AS115" s="81" t="s">
        <v>3378</v>
      </c>
      <c r="AT115" s="86" t="str">
        <f>HYPERLINK("https://www.youtube.com/channel/UC1wKVHD-tyOyS3GRdQpecSg")</f>
        <v>https://www.youtube.com/channel/UC1wKVHD-tyOyS3GRdQpecSg</v>
      </c>
      <c r="AU115" s="81" t="str">
        <f>REPLACE(INDEX(GroupVertices[Group],MATCH("~"&amp;Vertices[[#This Row],[Vertex]],GroupVertices[Vertex],0)),1,1,"")</f>
        <v>6</v>
      </c>
      <c r="AV115" s="49"/>
      <c r="AW115" s="49"/>
      <c r="AX115" s="49"/>
      <c r="AY115" s="49"/>
      <c r="AZ115" s="49"/>
      <c r="BA115" s="49"/>
      <c r="BB115" s="117" t="s">
        <v>3768</v>
      </c>
      <c r="BC115" s="117" t="s">
        <v>3768</v>
      </c>
      <c r="BD115" s="117" t="s">
        <v>4470</v>
      </c>
      <c r="BE115" s="117" t="s">
        <v>4470</v>
      </c>
      <c r="BF115" s="2"/>
      <c r="BG115" s="3"/>
      <c r="BH115" s="3"/>
      <c r="BI115" s="3"/>
      <c r="BJ115" s="3"/>
    </row>
    <row r="116" spans="1:62" ht="15">
      <c r="A116" s="66" t="s">
        <v>295</v>
      </c>
      <c r="B116" s="67"/>
      <c r="C116" s="67"/>
      <c r="D116" s="68">
        <v>50</v>
      </c>
      <c r="E116" s="70"/>
      <c r="F116" s="105" t="str">
        <f>HYPERLINK("https://yt3.ggpht.com/ytc/AIf8zZR6Fx7cBOxI9Tngj1rAjF2RDxBa2X0alIj909z_=s88-c-k-c0x00ffffff-no-rj")</f>
        <v>https://yt3.ggpht.com/ytc/AIf8zZR6Fx7cBOxI9Tngj1rAjF2RDxBa2X0alIj909z_=s88-c-k-c0x00ffffff-no-rj</v>
      </c>
      <c r="G116" s="67"/>
      <c r="H116" s="71" t="s">
        <v>2524</v>
      </c>
      <c r="I116" s="72"/>
      <c r="J116" s="72" t="s">
        <v>159</v>
      </c>
      <c r="K116" s="71" t="s">
        <v>2524</v>
      </c>
      <c r="L116" s="75">
        <v>1</v>
      </c>
      <c r="M116" s="76">
        <v>4134.36376953125</v>
      </c>
      <c r="N116" s="76">
        <v>4583.59716796875</v>
      </c>
      <c r="O116" s="77"/>
      <c r="P116" s="78"/>
      <c r="Q116" s="78"/>
      <c r="R116" s="90"/>
      <c r="S116" s="49">
        <v>0</v>
      </c>
      <c r="T116" s="49">
        <v>1</v>
      </c>
      <c r="U116" s="50">
        <v>0</v>
      </c>
      <c r="V116" s="50">
        <v>0.255736</v>
      </c>
      <c r="W116" s="51"/>
      <c r="X116" s="51"/>
      <c r="Y116" s="51"/>
      <c r="Z116" s="50"/>
      <c r="AA116" s="73">
        <v>116</v>
      </c>
      <c r="AB116" s="73"/>
      <c r="AC116" s="74"/>
      <c r="AD116" s="81" t="s">
        <v>2524</v>
      </c>
      <c r="AE116" s="81" t="s">
        <v>3145</v>
      </c>
      <c r="AF116" s="81"/>
      <c r="AG116" s="81"/>
      <c r="AH116" s="81"/>
      <c r="AI116" s="81" t="s">
        <v>1761</v>
      </c>
      <c r="AJ116" s="88">
        <v>39811.11409722222</v>
      </c>
      <c r="AK116" s="86" t="str">
        <f>HYPERLINK("https://yt3.ggpht.com/ytc/AIf8zZR6Fx7cBOxI9Tngj1rAjF2RDxBa2X0alIj909z_=s88-c-k-c0x00ffffff-no-rj")</f>
        <v>https://yt3.ggpht.com/ytc/AIf8zZR6Fx7cBOxI9Tngj1rAjF2RDxBa2X0alIj909z_=s88-c-k-c0x00ffffff-no-rj</v>
      </c>
      <c r="AL116" s="81">
        <v>0</v>
      </c>
      <c r="AM116" s="81">
        <v>0</v>
      </c>
      <c r="AN116" s="81">
        <v>72</v>
      </c>
      <c r="AO116" s="81" t="b">
        <v>0</v>
      </c>
      <c r="AP116" s="81">
        <v>0</v>
      </c>
      <c r="AQ116" s="81"/>
      <c r="AR116" s="81"/>
      <c r="AS116" s="81" t="s">
        <v>3378</v>
      </c>
      <c r="AT116" s="86" t="str">
        <f>HYPERLINK("https://www.youtube.com/channel/UCPeYFNsWAt25nCX-o5oa4ug")</f>
        <v>https://www.youtube.com/channel/UCPeYFNsWAt25nCX-o5oa4ug</v>
      </c>
      <c r="AU116" s="81" t="str">
        <f>REPLACE(INDEX(GroupVertices[Group],MATCH("~"&amp;Vertices[[#This Row],[Vertex]],GroupVertices[Vertex],0)),1,1,"")</f>
        <v>6</v>
      </c>
      <c r="AV116" s="49"/>
      <c r="AW116" s="49"/>
      <c r="AX116" s="49"/>
      <c r="AY116" s="49"/>
      <c r="AZ116" s="49"/>
      <c r="BA116" s="49"/>
      <c r="BB116" s="117" t="s">
        <v>3769</v>
      </c>
      <c r="BC116" s="117" t="s">
        <v>3769</v>
      </c>
      <c r="BD116" s="117" t="s">
        <v>4471</v>
      </c>
      <c r="BE116" s="117" t="s">
        <v>4471</v>
      </c>
      <c r="BF116" s="2"/>
      <c r="BG116" s="3"/>
      <c r="BH116" s="3"/>
      <c r="BI116" s="3"/>
      <c r="BJ116" s="3"/>
    </row>
    <row r="117" spans="1:62" ht="15">
      <c r="A117" s="66" t="s">
        <v>296</v>
      </c>
      <c r="B117" s="67"/>
      <c r="C117" s="67"/>
      <c r="D117" s="68">
        <v>50</v>
      </c>
      <c r="E117" s="70"/>
      <c r="F117" s="105" t="str">
        <f>HYPERLINK("https://yt3.ggpht.com/ytc/AIf8zZTc09PcfVr2dRXp6GY8iNe5ibLUmruz_3pKd41G=s88-c-k-c0x00ffffff-no-rj")</f>
        <v>https://yt3.ggpht.com/ytc/AIf8zZTc09PcfVr2dRXp6GY8iNe5ibLUmruz_3pKd41G=s88-c-k-c0x00ffffff-no-rj</v>
      </c>
      <c r="G117" s="67"/>
      <c r="H117" s="71" t="s">
        <v>2525</v>
      </c>
      <c r="I117" s="72"/>
      <c r="J117" s="72" t="s">
        <v>159</v>
      </c>
      <c r="K117" s="71" t="s">
        <v>2525</v>
      </c>
      <c r="L117" s="75">
        <v>1</v>
      </c>
      <c r="M117" s="76">
        <v>4936.23828125</v>
      </c>
      <c r="N117" s="76">
        <v>4352.93359375</v>
      </c>
      <c r="O117" s="77"/>
      <c r="P117" s="78"/>
      <c r="Q117" s="78"/>
      <c r="R117" s="90"/>
      <c r="S117" s="49">
        <v>0</v>
      </c>
      <c r="T117" s="49">
        <v>1</v>
      </c>
      <c r="U117" s="50">
        <v>0</v>
      </c>
      <c r="V117" s="50">
        <v>0.255736</v>
      </c>
      <c r="W117" s="51"/>
      <c r="X117" s="51"/>
      <c r="Y117" s="51"/>
      <c r="Z117" s="50"/>
      <c r="AA117" s="73">
        <v>117</v>
      </c>
      <c r="AB117" s="73"/>
      <c r="AC117" s="74"/>
      <c r="AD117" s="81" t="s">
        <v>2525</v>
      </c>
      <c r="AE117" s="81"/>
      <c r="AF117" s="81"/>
      <c r="AG117" s="81"/>
      <c r="AH117" s="81"/>
      <c r="AI117" s="81" t="s">
        <v>3246</v>
      </c>
      <c r="AJ117" s="88">
        <v>39230.65443287037</v>
      </c>
      <c r="AK117" s="86" t="str">
        <f>HYPERLINK("https://yt3.ggpht.com/ytc/AIf8zZTc09PcfVr2dRXp6GY8iNe5ibLUmruz_3pKd41G=s88-c-k-c0x00ffffff-no-rj")</f>
        <v>https://yt3.ggpht.com/ytc/AIf8zZTc09PcfVr2dRXp6GY8iNe5ibLUmruz_3pKd41G=s88-c-k-c0x00ffffff-no-rj</v>
      </c>
      <c r="AL117" s="81">
        <v>279433</v>
      </c>
      <c r="AM117" s="81">
        <v>0</v>
      </c>
      <c r="AN117" s="81">
        <v>733</v>
      </c>
      <c r="AO117" s="81" t="b">
        <v>0</v>
      </c>
      <c r="AP117" s="81">
        <v>37</v>
      </c>
      <c r="AQ117" s="81"/>
      <c r="AR117" s="81"/>
      <c r="AS117" s="81" t="s">
        <v>3378</v>
      </c>
      <c r="AT117" s="86" t="str">
        <f>HYPERLINK("https://www.youtube.com/channel/UCtjkxfb20n53ZJ5TfTKNOTA")</f>
        <v>https://www.youtube.com/channel/UCtjkxfb20n53ZJ5TfTKNOTA</v>
      </c>
      <c r="AU117" s="81" t="str">
        <f>REPLACE(INDEX(GroupVertices[Group],MATCH("~"&amp;Vertices[[#This Row],[Vertex]],GroupVertices[Vertex],0)),1,1,"")</f>
        <v>6</v>
      </c>
      <c r="AV117" s="49"/>
      <c r="AW117" s="49"/>
      <c r="AX117" s="49"/>
      <c r="AY117" s="49"/>
      <c r="AZ117" s="49"/>
      <c r="BA117" s="49"/>
      <c r="BB117" s="117" t="s">
        <v>3770</v>
      </c>
      <c r="BC117" s="117" t="s">
        <v>3770</v>
      </c>
      <c r="BD117" s="117" t="s">
        <v>4472</v>
      </c>
      <c r="BE117" s="117" t="s">
        <v>4472</v>
      </c>
      <c r="BF117" s="2"/>
      <c r="BG117" s="3"/>
      <c r="BH117" s="3"/>
      <c r="BI117" s="3"/>
      <c r="BJ117" s="3"/>
    </row>
    <row r="118" spans="1:62" ht="15">
      <c r="A118" s="66" t="s">
        <v>297</v>
      </c>
      <c r="B118" s="67"/>
      <c r="C118" s="67"/>
      <c r="D118" s="68">
        <v>50</v>
      </c>
      <c r="E118" s="70"/>
      <c r="F118" s="105" t="str">
        <f>HYPERLINK("https://yt3.ggpht.com/ytc/AIf8zZRMpZcjBk-4QFdkqAZ2xnU-k2T__LMHqkmJMg=s88-c-k-c0x00ffffff-no-rj")</f>
        <v>https://yt3.ggpht.com/ytc/AIf8zZRMpZcjBk-4QFdkqAZ2xnU-k2T__LMHqkmJMg=s88-c-k-c0x00ffffff-no-rj</v>
      </c>
      <c r="G118" s="67"/>
      <c r="H118" s="71" t="s">
        <v>2526</v>
      </c>
      <c r="I118" s="72"/>
      <c r="J118" s="72" t="s">
        <v>159</v>
      </c>
      <c r="K118" s="71" t="s">
        <v>2526</v>
      </c>
      <c r="L118" s="75">
        <v>1</v>
      </c>
      <c r="M118" s="76">
        <v>5882.26123046875</v>
      </c>
      <c r="N118" s="76">
        <v>4030.114990234375</v>
      </c>
      <c r="O118" s="77"/>
      <c r="P118" s="78"/>
      <c r="Q118" s="78"/>
      <c r="R118" s="90"/>
      <c r="S118" s="49">
        <v>0</v>
      </c>
      <c r="T118" s="49">
        <v>1</v>
      </c>
      <c r="U118" s="50">
        <v>0</v>
      </c>
      <c r="V118" s="50">
        <v>0.255736</v>
      </c>
      <c r="W118" s="51"/>
      <c r="X118" s="51"/>
      <c r="Y118" s="51"/>
      <c r="Z118" s="50"/>
      <c r="AA118" s="73">
        <v>118</v>
      </c>
      <c r="AB118" s="73"/>
      <c r="AC118" s="74"/>
      <c r="AD118" s="81" t="s">
        <v>2526</v>
      </c>
      <c r="AE118" s="81"/>
      <c r="AF118" s="81"/>
      <c r="AG118" s="81"/>
      <c r="AH118" s="81"/>
      <c r="AI118" s="81" t="s">
        <v>1763</v>
      </c>
      <c r="AJ118" s="88">
        <v>40787.10021990741</v>
      </c>
      <c r="AK118" s="86" t="str">
        <f>HYPERLINK("https://yt3.ggpht.com/ytc/AIf8zZRMpZcjBk-4QFdkqAZ2xnU-k2T__LMHqkmJMg=s88-c-k-c0x00ffffff-no-rj")</f>
        <v>https://yt3.ggpht.com/ytc/AIf8zZRMpZcjBk-4QFdkqAZ2xnU-k2T__LMHqkmJMg=s88-c-k-c0x00ffffff-no-rj</v>
      </c>
      <c r="AL118" s="81">
        <v>0</v>
      </c>
      <c r="AM118" s="81">
        <v>0</v>
      </c>
      <c r="AN118" s="81">
        <v>0</v>
      </c>
      <c r="AO118" s="81" t="b">
        <v>0</v>
      </c>
      <c r="AP118" s="81">
        <v>0</v>
      </c>
      <c r="AQ118" s="81"/>
      <c r="AR118" s="81"/>
      <c r="AS118" s="81" t="s">
        <v>3378</v>
      </c>
      <c r="AT118" s="86" t="str">
        <f>HYPERLINK("https://www.youtube.com/channel/UCFw01XA3rTRopNj5rCizjjg")</f>
        <v>https://www.youtube.com/channel/UCFw01XA3rTRopNj5rCizjjg</v>
      </c>
      <c r="AU118" s="81" t="str">
        <f>REPLACE(INDEX(GroupVertices[Group],MATCH("~"&amp;Vertices[[#This Row],[Vertex]],GroupVertices[Vertex],0)),1,1,"")</f>
        <v>6</v>
      </c>
      <c r="AV118" s="49"/>
      <c r="AW118" s="49"/>
      <c r="AX118" s="49"/>
      <c r="AY118" s="49"/>
      <c r="AZ118" s="49"/>
      <c r="BA118" s="49"/>
      <c r="BB118" s="117" t="s">
        <v>3771</v>
      </c>
      <c r="BC118" s="117" t="s">
        <v>3771</v>
      </c>
      <c r="BD118" s="117" t="s">
        <v>4473</v>
      </c>
      <c r="BE118" s="117" t="s">
        <v>4473</v>
      </c>
      <c r="BF118" s="2"/>
      <c r="BG118" s="3"/>
      <c r="BH118" s="3"/>
      <c r="BI118" s="3"/>
      <c r="BJ118" s="3"/>
    </row>
    <row r="119" spans="1:62" ht="15">
      <c r="A119" s="66" t="s">
        <v>298</v>
      </c>
      <c r="B119" s="67"/>
      <c r="C119" s="67"/>
      <c r="D119" s="68">
        <v>50</v>
      </c>
      <c r="E119" s="70"/>
      <c r="F119" s="105" t="str">
        <f>HYPERLINK("https://yt3.ggpht.com/Mvv7eVuTy2OgVqUpVjqSTuIfOYHDIsRnRN9cz80rWVypLprfpBrGcZM88a3VqMm78KISLpSOpw=s88-c-k-c0x00ffffff-no-rj")</f>
        <v>https://yt3.ggpht.com/Mvv7eVuTy2OgVqUpVjqSTuIfOYHDIsRnRN9cz80rWVypLprfpBrGcZM88a3VqMm78KISLpSOpw=s88-c-k-c0x00ffffff-no-rj</v>
      </c>
      <c r="G119" s="67"/>
      <c r="H119" s="71" t="s">
        <v>2527</v>
      </c>
      <c r="I119" s="72"/>
      <c r="J119" s="72" t="s">
        <v>159</v>
      </c>
      <c r="K119" s="71" t="s">
        <v>2527</v>
      </c>
      <c r="L119" s="75">
        <v>1</v>
      </c>
      <c r="M119" s="76">
        <v>4552.408203125</v>
      </c>
      <c r="N119" s="76">
        <v>1173.9608154296875</v>
      </c>
      <c r="O119" s="77"/>
      <c r="P119" s="78"/>
      <c r="Q119" s="78"/>
      <c r="R119" s="90"/>
      <c r="S119" s="49">
        <v>0</v>
      </c>
      <c r="T119" s="49">
        <v>1</v>
      </c>
      <c r="U119" s="50">
        <v>0</v>
      </c>
      <c r="V119" s="50">
        <v>0.255736</v>
      </c>
      <c r="W119" s="51"/>
      <c r="X119" s="51"/>
      <c r="Y119" s="51"/>
      <c r="Z119" s="50"/>
      <c r="AA119" s="73">
        <v>119</v>
      </c>
      <c r="AB119" s="73"/>
      <c r="AC119" s="74"/>
      <c r="AD119" s="81" t="s">
        <v>2527</v>
      </c>
      <c r="AE119" s="81" t="s">
        <v>3146</v>
      </c>
      <c r="AF119" s="81"/>
      <c r="AG119" s="81"/>
      <c r="AH119" s="81"/>
      <c r="AI119" s="81" t="s">
        <v>1764</v>
      </c>
      <c r="AJ119" s="88">
        <v>42176.0190625</v>
      </c>
      <c r="AK119" s="86" t="str">
        <f>HYPERLINK("https://yt3.ggpht.com/Mvv7eVuTy2OgVqUpVjqSTuIfOYHDIsRnRN9cz80rWVypLprfpBrGcZM88a3VqMm78KISLpSOpw=s88-c-k-c0x00ffffff-no-rj")</f>
        <v>https://yt3.ggpht.com/Mvv7eVuTy2OgVqUpVjqSTuIfOYHDIsRnRN9cz80rWVypLprfpBrGcZM88a3VqMm78KISLpSOpw=s88-c-k-c0x00ffffff-no-rj</v>
      </c>
      <c r="AL119" s="81">
        <v>811</v>
      </c>
      <c r="AM119" s="81">
        <v>0</v>
      </c>
      <c r="AN119" s="81">
        <v>131</v>
      </c>
      <c r="AO119" s="81" t="b">
        <v>0</v>
      </c>
      <c r="AP119" s="81">
        <v>10</v>
      </c>
      <c r="AQ119" s="81"/>
      <c r="AR119" s="81"/>
      <c r="AS119" s="81" t="s">
        <v>3378</v>
      </c>
      <c r="AT119" s="86" t="str">
        <f>HYPERLINK("https://www.youtube.com/channel/UChdurFkD6WA-JyjDoKBpGyA")</f>
        <v>https://www.youtube.com/channel/UChdurFkD6WA-JyjDoKBpGyA</v>
      </c>
      <c r="AU119" s="81" t="str">
        <f>REPLACE(INDEX(GroupVertices[Group],MATCH("~"&amp;Vertices[[#This Row],[Vertex]],GroupVertices[Vertex],0)),1,1,"")</f>
        <v>6</v>
      </c>
      <c r="AV119" s="49"/>
      <c r="AW119" s="49"/>
      <c r="AX119" s="49"/>
      <c r="AY119" s="49"/>
      <c r="AZ119" s="49"/>
      <c r="BA119" s="49"/>
      <c r="BB119" s="117" t="s">
        <v>3772</v>
      </c>
      <c r="BC119" s="117" t="s">
        <v>3772</v>
      </c>
      <c r="BD119" s="117" t="s">
        <v>4474</v>
      </c>
      <c r="BE119" s="117" t="s">
        <v>4474</v>
      </c>
      <c r="BF119" s="2"/>
      <c r="BG119" s="3"/>
      <c r="BH119" s="3"/>
      <c r="BI119" s="3"/>
      <c r="BJ119" s="3"/>
    </row>
    <row r="120" spans="1:62" ht="15">
      <c r="A120" s="66" t="s">
        <v>299</v>
      </c>
      <c r="B120" s="67"/>
      <c r="C120" s="67"/>
      <c r="D120" s="68">
        <v>50</v>
      </c>
      <c r="E120" s="70"/>
      <c r="F120" s="105" t="str">
        <f>HYPERLINK("https://yt3.ggpht.com/ytc/AIf8zZSJEtj-wBq2T6s3jLz2IHskV1WhqaQhTNpPxdrJzFY=s88-c-k-c0x00ffffff-no-rj")</f>
        <v>https://yt3.ggpht.com/ytc/AIf8zZSJEtj-wBq2T6s3jLz2IHskV1WhqaQhTNpPxdrJzFY=s88-c-k-c0x00ffffff-no-rj</v>
      </c>
      <c r="G120" s="67"/>
      <c r="H120" s="71" t="s">
        <v>2528</v>
      </c>
      <c r="I120" s="72"/>
      <c r="J120" s="72" t="s">
        <v>159</v>
      </c>
      <c r="K120" s="71" t="s">
        <v>2528</v>
      </c>
      <c r="L120" s="75">
        <v>1</v>
      </c>
      <c r="M120" s="76">
        <v>5319.07763671875</v>
      </c>
      <c r="N120" s="76">
        <v>559.8969116210938</v>
      </c>
      <c r="O120" s="77"/>
      <c r="P120" s="78"/>
      <c r="Q120" s="78"/>
      <c r="R120" s="90"/>
      <c r="S120" s="49">
        <v>0</v>
      </c>
      <c r="T120" s="49">
        <v>1</v>
      </c>
      <c r="U120" s="50">
        <v>0</v>
      </c>
      <c r="V120" s="50">
        <v>0.255736</v>
      </c>
      <c r="W120" s="51"/>
      <c r="X120" s="51"/>
      <c r="Y120" s="51"/>
      <c r="Z120" s="50"/>
      <c r="AA120" s="73">
        <v>120</v>
      </c>
      <c r="AB120" s="73"/>
      <c r="AC120" s="74"/>
      <c r="AD120" s="81" t="s">
        <v>2528</v>
      </c>
      <c r="AE120" s="81"/>
      <c r="AF120" s="81"/>
      <c r="AG120" s="81"/>
      <c r="AH120" s="81"/>
      <c r="AI120" s="81" t="s">
        <v>1765</v>
      </c>
      <c r="AJ120" s="88">
        <v>38856.07244212963</v>
      </c>
      <c r="AK120" s="86" t="str">
        <f>HYPERLINK("https://yt3.ggpht.com/ytc/AIf8zZSJEtj-wBq2T6s3jLz2IHskV1WhqaQhTNpPxdrJzFY=s88-c-k-c0x00ffffff-no-rj")</f>
        <v>https://yt3.ggpht.com/ytc/AIf8zZSJEtj-wBq2T6s3jLz2IHskV1WhqaQhTNpPxdrJzFY=s88-c-k-c0x00ffffff-no-rj</v>
      </c>
      <c r="AL120" s="81">
        <v>25974</v>
      </c>
      <c r="AM120" s="81">
        <v>0</v>
      </c>
      <c r="AN120" s="81">
        <v>31</v>
      </c>
      <c r="AO120" s="81" t="b">
        <v>0</v>
      </c>
      <c r="AP120" s="81">
        <v>8</v>
      </c>
      <c r="AQ120" s="81"/>
      <c r="AR120" s="81"/>
      <c r="AS120" s="81" t="s">
        <v>3378</v>
      </c>
      <c r="AT120" s="86" t="str">
        <f>HYPERLINK("https://www.youtube.com/channel/UCIxxE98oMjwxtRYWqx1h2bg")</f>
        <v>https://www.youtube.com/channel/UCIxxE98oMjwxtRYWqx1h2bg</v>
      </c>
      <c r="AU120" s="81" t="str">
        <f>REPLACE(INDEX(GroupVertices[Group],MATCH("~"&amp;Vertices[[#This Row],[Vertex]],GroupVertices[Vertex],0)),1,1,"")</f>
        <v>6</v>
      </c>
      <c r="AV120" s="49"/>
      <c r="AW120" s="49"/>
      <c r="AX120" s="49"/>
      <c r="AY120" s="49"/>
      <c r="AZ120" s="49"/>
      <c r="BA120" s="49"/>
      <c r="BB120" s="117" t="s">
        <v>3773</v>
      </c>
      <c r="BC120" s="117" t="s">
        <v>3773</v>
      </c>
      <c r="BD120" s="117" t="s">
        <v>4475</v>
      </c>
      <c r="BE120" s="117" t="s">
        <v>4475</v>
      </c>
      <c r="BF120" s="2"/>
      <c r="BG120" s="3"/>
      <c r="BH120" s="3"/>
      <c r="BI120" s="3"/>
      <c r="BJ120" s="3"/>
    </row>
    <row r="121" spans="1:62" ht="15">
      <c r="A121" s="66" t="s">
        <v>300</v>
      </c>
      <c r="B121" s="67"/>
      <c r="C121" s="67"/>
      <c r="D121" s="68">
        <v>50</v>
      </c>
      <c r="E121" s="70"/>
      <c r="F121" s="105" t="str">
        <f>HYPERLINK("https://yt3.ggpht.com/JbOzdk93EbT7n7tK8PmyABvYm-It0DGyInPzuOVtnNfbuMyAW6RBUeWzs5Zm5E3-e3kw8KqmMfY=s88-c-k-c0x00ffffff-no-rj")</f>
        <v>https://yt3.ggpht.com/JbOzdk93EbT7n7tK8PmyABvYm-It0DGyInPzuOVtnNfbuMyAW6RBUeWzs5Zm5E3-e3kw8KqmMfY=s88-c-k-c0x00ffffff-no-rj</v>
      </c>
      <c r="G121" s="67"/>
      <c r="H121" s="71" t="s">
        <v>2529</v>
      </c>
      <c r="I121" s="72"/>
      <c r="J121" s="72" t="s">
        <v>159</v>
      </c>
      <c r="K121" s="71" t="s">
        <v>2529</v>
      </c>
      <c r="L121" s="75">
        <v>1</v>
      </c>
      <c r="M121" s="76">
        <v>4665.01025390625</v>
      </c>
      <c r="N121" s="76">
        <v>209.6748046875</v>
      </c>
      <c r="O121" s="77"/>
      <c r="P121" s="78"/>
      <c r="Q121" s="78"/>
      <c r="R121" s="90"/>
      <c r="S121" s="49">
        <v>0</v>
      </c>
      <c r="T121" s="49">
        <v>1</v>
      </c>
      <c r="U121" s="50">
        <v>0</v>
      </c>
      <c r="V121" s="50">
        <v>0.255736</v>
      </c>
      <c r="W121" s="51"/>
      <c r="X121" s="51"/>
      <c r="Y121" s="51"/>
      <c r="Z121" s="50"/>
      <c r="AA121" s="73">
        <v>121</v>
      </c>
      <c r="AB121" s="73"/>
      <c r="AC121" s="74"/>
      <c r="AD121" s="81" t="s">
        <v>2529</v>
      </c>
      <c r="AE121" s="81" t="s">
        <v>3147</v>
      </c>
      <c r="AF121" s="81"/>
      <c r="AG121" s="81"/>
      <c r="AH121" s="81"/>
      <c r="AI121" s="81" t="s">
        <v>3247</v>
      </c>
      <c r="AJ121" s="88">
        <v>44518.73708333333</v>
      </c>
      <c r="AK121" s="86" t="str">
        <f>HYPERLINK("https://yt3.ggpht.com/JbOzdk93EbT7n7tK8PmyABvYm-It0DGyInPzuOVtnNfbuMyAW6RBUeWzs5Zm5E3-e3kw8KqmMfY=s88-c-k-c0x00ffffff-no-rj")</f>
        <v>https://yt3.ggpht.com/JbOzdk93EbT7n7tK8PmyABvYm-It0DGyInPzuOVtnNfbuMyAW6RBUeWzs5Zm5E3-e3kw8KqmMfY=s88-c-k-c0x00ffffff-no-rj</v>
      </c>
      <c r="AL121" s="81">
        <v>0</v>
      </c>
      <c r="AM121" s="81">
        <v>0</v>
      </c>
      <c r="AN121" s="81">
        <v>4</v>
      </c>
      <c r="AO121" s="81" t="b">
        <v>0</v>
      </c>
      <c r="AP121" s="81">
        <v>0</v>
      </c>
      <c r="AQ121" s="81"/>
      <c r="AR121" s="81"/>
      <c r="AS121" s="81" t="s">
        <v>3378</v>
      </c>
      <c r="AT121" s="86" t="str">
        <f>HYPERLINK("https://www.youtube.com/channel/UCg87RA2-t78aRHyGoF9tyyg")</f>
        <v>https://www.youtube.com/channel/UCg87RA2-t78aRHyGoF9tyyg</v>
      </c>
      <c r="AU121" s="81" t="str">
        <f>REPLACE(INDEX(GroupVertices[Group],MATCH("~"&amp;Vertices[[#This Row],[Vertex]],GroupVertices[Vertex],0)),1,1,"")</f>
        <v>6</v>
      </c>
      <c r="AV121" s="49"/>
      <c r="AW121" s="49"/>
      <c r="AX121" s="49"/>
      <c r="AY121" s="49"/>
      <c r="AZ121" s="49"/>
      <c r="BA121" s="49"/>
      <c r="BB121" s="117" t="s">
        <v>3774</v>
      </c>
      <c r="BC121" s="117" t="s">
        <v>3774</v>
      </c>
      <c r="BD121" s="117" t="s">
        <v>2423</v>
      </c>
      <c r="BE121" s="117" t="s">
        <v>2423</v>
      </c>
      <c r="BF121" s="2"/>
      <c r="BG121" s="3"/>
      <c r="BH121" s="3"/>
      <c r="BI121" s="3"/>
      <c r="BJ121" s="3"/>
    </row>
    <row r="122" spans="1:62" ht="15">
      <c r="A122" s="66" t="s">
        <v>301</v>
      </c>
      <c r="B122" s="67"/>
      <c r="C122" s="67"/>
      <c r="D122" s="68">
        <v>50</v>
      </c>
      <c r="E122" s="70"/>
      <c r="F122" s="105" t="str">
        <f>HYPERLINK("https://yt3.ggpht.com/7grCwRe3Z8FtBGxbZOLLBHJZmo_8SIbFhCMe0JW6FVAZLNd9N1wdSPCcyHUi2vzxVqNYZ3vr=s88-c-k-c0x00ffffff-no-rj")</f>
        <v>https://yt3.ggpht.com/7grCwRe3Z8FtBGxbZOLLBHJZmo_8SIbFhCMe0JW6FVAZLNd9N1wdSPCcyHUi2vzxVqNYZ3vr=s88-c-k-c0x00ffffff-no-rj</v>
      </c>
      <c r="G122" s="67"/>
      <c r="H122" s="71" t="s">
        <v>2530</v>
      </c>
      <c r="I122" s="72"/>
      <c r="J122" s="72" t="s">
        <v>159</v>
      </c>
      <c r="K122" s="71" t="s">
        <v>2530</v>
      </c>
      <c r="L122" s="75">
        <v>1</v>
      </c>
      <c r="M122" s="76">
        <v>4322.14404296875</v>
      </c>
      <c r="N122" s="76">
        <v>5088.7451171875</v>
      </c>
      <c r="O122" s="77"/>
      <c r="P122" s="78"/>
      <c r="Q122" s="78"/>
      <c r="R122" s="90"/>
      <c r="S122" s="49">
        <v>0</v>
      </c>
      <c r="T122" s="49">
        <v>1</v>
      </c>
      <c r="U122" s="50">
        <v>0</v>
      </c>
      <c r="V122" s="50">
        <v>0.255736</v>
      </c>
      <c r="W122" s="51"/>
      <c r="X122" s="51"/>
      <c r="Y122" s="51"/>
      <c r="Z122" s="50"/>
      <c r="AA122" s="73">
        <v>122</v>
      </c>
      <c r="AB122" s="73"/>
      <c r="AC122" s="74"/>
      <c r="AD122" s="81" t="s">
        <v>2530</v>
      </c>
      <c r="AE122" s="81"/>
      <c r="AF122" s="81"/>
      <c r="AG122" s="81"/>
      <c r="AH122" s="81"/>
      <c r="AI122" s="81" t="s">
        <v>1767</v>
      </c>
      <c r="AJ122" s="88">
        <v>43326.12068287037</v>
      </c>
      <c r="AK122" s="86" t="str">
        <f>HYPERLINK("https://yt3.ggpht.com/7grCwRe3Z8FtBGxbZOLLBHJZmo_8SIbFhCMe0JW6FVAZLNd9N1wdSPCcyHUi2vzxVqNYZ3vr=s88-c-k-c0x00ffffff-no-rj")</f>
        <v>https://yt3.ggpht.com/7grCwRe3Z8FtBGxbZOLLBHJZmo_8SIbFhCMe0JW6FVAZLNd9N1wdSPCcyHUi2vzxVqNYZ3vr=s88-c-k-c0x00ffffff-no-rj</v>
      </c>
      <c r="AL122" s="81">
        <v>0</v>
      </c>
      <c r="AM122" s="81">
        <v>0</v>
      </c>
      <c r="AN122" s="81">
        <v>0</v>
      </c>
      <c r="AO122" s="81" t="b">
        <v>0</v>
      </c>
      <c r="AP122" s="81">
        <v>0</v>
      </c>
      <c r="AQ122" s="81"/>
      <c r="AR122" s="81"/>
      <c r="AS122" s="81" t="s">
        <v>3378</v>
      </c>
      <c r="AT122" s="86" t="str">
        <f>HYPERLINK("https://www.youtube.com/channel/UCIfWs-Cc-utBTqfOczqD-lg")</f>
        <v>https://www.youtube.com/channel/UCIfWs-Cc-utBTqfOczqD-lg</v>
      </c>
      <c r="AU122" s="81" t="str">
        <f>REPLACE(INDEX(GroupVertices[Group],MATCH("~"&amp;Vertices[[#This Row],[Vertex]],GroupVertices[Vertex],0)),1,1,"")</f>
        <v>6</v>
      </c>
      <c r="AV122" s="49"/>
      <c r="AW122" s="49"/>
      <c r="AX122" s="49"/>
      <c r="AY122" s="49"/>
      <c r="AZ122" s="49"/>
      <c r="BA122" s="49"/>
      <c r="BB122" s="117" t="s">
        <v>3775</v>
      </c>
      <c r="BC122" s="117" t="s">
        <v>3775</v>
      </c>
      <c r="BD122" s="117" t="s">
        <v>4476</v>
      </c>
      <c r="BE122" s="117" t="s">
        <v>4476</v>
      </c>
      <c r="BF122" s="2"/>
      <c r="BG122" s="3"/>
      <c r="BH122" s="3"/>
      <c r="BI122" s="3"/>
      <c r="BJ122" s="3"/>
    </row>
    <row r="123" spans="1:62" ht="15">
      <c r="A123" s="66" t="s">
        <v>302</v>
      </c>
      <c r="B123" s="67"/>
      <c r="C123" s="67"/>
      <c r="D123" s="68">
        <v>50</v>
      </c>
      <c r="E123" s="70"/>
      <c r="F123" s="105" t="str">
        <f>HYPERLINK("https://yt3.ggpht.com/Qenp6wN1MAmw9kfYJCWoL96M8X9QvvlQvU7O96xsVZiizRograR0JSPPHr9QVc7zxo-bg5ynUg=s88-c-k-c0x00ffffff-no-rj")</f>
        <v>https://yt3.ggpht.com/Qenp6wN1MAmw9kfYJCWoL96M8X9QvvlQvU7O96xsVZiizRograR0JSPPHr9QVc7zxo-bg5ynUg=s88-c-k-c0x00ffffff-no-rj</v>
      </c>
      <c r="G123" s="67"/>
      <c r="H123" s="71" t="s">
        <v>2531</v>
      </c>
      <c r="I123" s="72"/>
      <c r="J123" s="72" t="s">
        <v>159</v>
      </c>
      <c r="K123" s="71" t="s">
        <v>2531</v>
      </c>
      <c r="L123" s="75">
        <v>1</v>
      </c>
      <c r="M123" s="76">
        <v>5975.69482421875</v>
      </c>
      <c r="N123" s="76">
        <v>2554.784912109375</v>
      </c>
      <c r="O123" s="77"/>
      <c r="P123" s="78"/>
      <c r="Q123" s="78"/>
      <c r="R123" s="90"/>
      <c r="S123" s="49">
        <v>0</v>
      </c>
      <c r="T123" s="49">
        <v>1</v>
      </c>
      <c r="U123" s="50">
        <v>0</v>
      </c>
      <c r="V123" s="50">
        <v>0.255736</v>
      </c>
      <c r="W123" s="51"/>
      <c r="X123" s="51"/>
      <c r="Y123" s="51"/>
      <c r="Z123" s="50"/>
      <c r="AA123" s="73">
        <v>123</v>
      </c>
      <c r="AB123" s="73"/>
      <c r="AC123" s="74"/>
      <c r="AD123" s="81" t="s">
        <v>2531</v>
      </c>
      <c r="AE123" s="81" t="s">
        <v>3148</v>
      </c>
      <c r="AF123" s="81"/>
      <c r="AG123" s="81"/>
      <c r="AH123" s="81"/>
      <c r="AI123" s="81" t="s">
        <v>1768</v>
      </c>
      <c r="AJ123" s="88">
        <v>45082.68082175926</v>
      </c>
      <c r="AK123" s="86" t="str">
        <f>HYPERLINK("https://yt3.ggpht.com/Qenp6wN1MAmw9kfYJCWoL96M8X9QvvlQvU7O96xsVZiizRograR0JSPPHr9QVc7zxo-bg5ynUg=s88-c-k-c0x00ffffff-no-rj")</f>
        <v>https://yt3.ggpht.com/Qenp6wN1MAmw9kfYJCWoL96M8X9QvvlQvU7O96xsVZiizRograR0JSPPHr9QVc7zxo-bg5ynUg=s88-c-k-c0x00ffffff-no-rj</v>
      </c>
      <c r="AL123" s="81">
        <v>38</v>
      </c>
      <c r="AM123" s="81">
        <v>0</v>
      </c>
      <c r="AN123" s="81">
        <v>1</v>
      </c>
      <c r="AO123" s="81" t="b">
        <v>0</v>
      </c>
      <c r="AP123" s="81">
        <v>1</v>
      </c>
      <c r="AQ123" s="81"/>
      <c r="AR123" s="81"/>
      <c r="AS123" s="81" t="s">
        <v>3378</v>
      </c>
      <c r="AT123" s="86" t="str">
        <f>HYPERLINK("https://www.youtube.com/channel/UC19k4LxgCVSjWv7NZOvNeeA")</f>
        <v>https://www.youtube.com/channel/UC19k4LxgCVSjWv7NZOvNeeA</v>
      </c>
      <c r="AU123" s="81" t="str">
        <f>REPLACE(INDEX(GroupVertices[Group],MATCH("~"&amp;Vertices[[#This Row],[Vertex]],GroupVertices[Vertex],0)),1,1,"")</f>
        <v>6</v>
      </c>
      <c r="AV123" s="49"/>
      <c r="AW123" s="49"/>
      <c r="AX123" s="49"/>
      <c r="AY123" s="49"/>
      <c r="AZ123" s="49"/>
      <c r="BA123" s="49"/>
      <c r="BB123" s="117" t="s">
        <v>3776</v>
      </c>
      <c r="BC123" s="117" t="s">
        <v>3776</v>
      </c>
      <c r="BD123" s="117" t="s">
        <v>4477</v>
      </c>
      <c r="BE123" s="117" t="s">
        <v>4477</v>
      </c>
      <c r="BF123" s="2"/>
      <c r="BG123" s="3"/>
      <c r="BH123" s="3"/>
      <c r="BI123" s="3"/>
      <c r="BJ123" s="3"/>
    </row>
    <row r="124" spans="1:62" ht="15">
      <c r="A124" s="66" t="s">
        <v>303</v>
      </c>
      <c r="B124" s="67"/>
      <c r="C124" s="67"/>
      <c r="D124" s="68">
        <v>50</v>
      </c>
      <c r="E124" s="70"/>
      <c r="F124" s="105" t="str">
        <f>HYPERLINK("https://yt3.ggpht.com/ytc/AIf8zZR_Pm8n92Z2UGcC5RoQgCYNrq3ceuXSEdbm8w=s88-c-k-c0x00ffffff-no-rj")</f>
        <v>https://yt3.ggpht.com/ytc/AIf8zZR_Pm8n92Z2UGcC5RoQgCYNrq3ceuXSEdbm8w=s88-c-k-c0x00ffffff-no-rj</v>
      </c>
      <c r="G124" s="67"/>
      <c r="H124" s="71" t="s">
        <v>2532</v>
      </c>
      <c r="I124" s="72"/>
      <c r="J124" s="72" t="s">
        <v>159</v>
      </c>
      <c r="K124" s="71" t="s">
        <v>2532</v>
      </c>
      <c r="L124" s="75">
        <v>1</v>
      </c>
      <c r="M124" s="76">
        <v>4289.923828125</v>
      </c>
      <c r="N124" s="76">
        <v>2950.689208984375</v>
      </c>
      <c r="O124" s="77"/>
      <c r="P124" s="78"/>
      <c r="Q124" s="78"/>
      <c r="R124" s="90"/>
      <c r="S124" s="49">
        <v>0</v>
      </c>
      <c r="T124" s="49">
        <v>1</v>
      </c>
      <c r="U124" s="50">
        <v>0</v>
      </c>
      <c r="V124" s="50">
        <v>0.255736</v>
      </c>
      <c r="W124" s="51"/>
      <c r="X124" s="51"/>
      <c r="Y124" s="51"/>
      <c r="Z124" s="50"/>
      <c r="AA124" s="73">
        <v>124</v>
      </c>
      <c r="AB124" s="73"/>
      <c r="AC124" s="74"/>
      <c r="AD124" s="81" t="s">
        <v>2532</v>
      </c>
      <c r="AE124" s="81"/>
      <c r="AF124" s="81"/>
      <c r="AG124" s="81"/>
      <c r="AH124" s="81"/>
      <c r="AI124" s="81" t="s">
        <v>1769</v>
      </c>
      <c r="AJ124" s="88">
        <v>40576.3918287037</v>
      </c>
      <c r="AK124" s="86" t="str">
        <f>HYPERLINK("https://yt3.ggpht.com/ytc/AIf8zZR_Pm8n92Z2UGcC5RoQgCYNrq3ceuXSEdbm8w=s88-c-k-c0x00ffffff-no-rj")</f>
        <v>https://yt3.ggpht.com/ytc/AIf8zZR_Pm8n92Z2UGcC5RoQgCYNrq3ceuXSEdbm8w=s88-c-k-c0x00ffffff-no-rj</v>
      </c>
      <c r="AL124" s="81">
        <v>0</v>
      </c>
      <c r="AM124" s="81">
        <v>0</v>
      </c>
      <c r="AN124" s="81">
        <v>0</v>
      </c>
      <c r="AO124" s="81" t="b">
        <v>0</v>
      </c>
      <c r="AP124" s="81">
        <v>0</v>
      </c>
      <c r="AQ124" s="81"/>
      <c r="AR124" s="81"/>
      <c r="AS124" s="81" t="s">
        <v>3378</v>
      </c>
      <c r="AT124" s="86" t="str">
        <f>HYPERLINK("https://www.youtube.com/channel/UCh3Se-divVdkFpb5PwM5K_A")</f>
        <v>https://www.youtube.com/channel/UCh3Se-divVdkFpb5PwM5K_A</v>
      </c>
      <c r="AU124" s="81" t="str">
        <f>REPLACE(INDEX(GroupVertices[Group],MATCH("~"&amp;Vertices[[#This Row],[Vertex]],GroupVertices[Vertex],0)),1,1,"")</f>
        <v>6</v>
      </c>
      <c r="AV124" s="49"/>
      <c r="AW124" s="49"/>
      <c r="AX124" s="49"/>
      <c r="AY124" s="49"/>
      <c r="AZ124" s="49"/>
      <c r="BA124" s="49"/>
      <c r="BB124" s="117" t="s">
        <v>3777</v>
      </c>
      <c r="BC124" s="117" t="s">
        <v>3777</v>
      </c>
      <c r="BD124" s="117" t="s">
        <v>4478</v>
      </c>
      <c r="BE124" s="117" t="s">
        <v>4478</v>
      </c>
      <c r="BF124" s="2"/>
      <c r="BG124" s="3"/>
      <c r="BH124" s="3"/>
      <c r="BI124" s="3"/>
      <c r="BJ124" s="3"/>
    </row>
    <row r="125" spans="1:62" ht="15">
      <c r="A125" s="66" t="s">
        <v>304</v>
      </c>
      <c r="B125" s="67"/>
      <c r="C125" s="67"/>
      <c r="D125" s="68">
        <v>50</v>
      </c>
      <c r="E125" s="70"/>
      <c r="F125" s="105" t="str">
        <f>HYPERLINK("https://yt3.ggpht.com/ytc/AIf8zZQZycWiPHI0vX1jypqumus8YEqj_dOImJW0JDvh=s88-c-k-c0x00ffffff-no-rj")</f>
        <v>https://yt3.ggpht.com/ytc/AIf8zZQZycWiPHI0vX1jypqumus8YEqj_dOImJW0JDvh=s88-c-k-c0x00ffffff-no-rj</v>
      </c>
      <c r="G125" s="67"/>
      <c r="H125" s="71" t="s">
        <v>2533</v>
      </c>
      <c r="I125" s="72"/>
      <c r="J125" s="72" t="s">
        <v>159</v>
      </c>
      <c r="K125" s="71" t="s">
        <v>2533</v>
      </c>
      <c r="L125" s="75">
        <v>1</v>
      </c>
      <c r="M125" s="76">
        <v>4560.70263671875</v>
      </c>
      <c r="N125" s="76">
        <v>555.0536499023438</v>
      </c>
      <c r="O125" s="77"/>
      <c r="P125" s="78"/>
      <c r="Q125" s="78"/>
      <c r="R125" s="90"/>
      <c r="S125" s="49">
        <v>0</v>
      </c>
      <c r="T125" s="49">
        <v>1</v>
      </c>
      <c r="U125" s="50">
        <v>0</v>
      </c>
      <c r="V125" s="50">
        <v>0.255736</v>
      </c>
      <c r="W125" s="51"/>
      <c r="X125" s="51"/>
      <c r="Y125" s="51"/>
      <c r="Z125" s="50"/>
      <c r="AA125" s="73">
        <v>125</v>
      </c>
      <c r="AB125" s="73"/>
      <c r="AC125" s="74"/>
      <c r="AD125" s="81" t="s">
        <v>2533</v>
      </c>
      <c r="AE125" s="81"/>
      <c r="AF125" s="81"/>
      <c r="AG125" s="81"/>
      <c r="AH125" s="81"/>
      <c r="AI125" s="81" t="s">
        <v>1770</v>
      </c>
      <c r="AJ125" s="88">
        <v>38899.48134259259</v>
      </c>
      <c r="AK125" s="86" t="str">
        <f>HYPERLINK("https://yt3.ggpht.com/ytc/AIf8zZQZycWiPHI0vX1jypqumus8YEqj_dOImJW0JDvh=s88-c-k-c0x00ffffff-no-rj")</f>
        <v>https://yt3.ggpht.com/ytc/AIf8zZQZycWiPHI0vX1jypqumus8YEqj_dOImJW0JDvh=s88-c-k-c0x00ffffff-no-rj</v>
      </c>
      <c r="AL125" s="81">
        <v>2988855</v>
      </c>
      <c r="AM125" s="81">
        <v>0</v>
      </c>
      <c r="AN125" s="81">
        <v>4240</v>
      </c>
      <c r="AO125" s="81" t="b">
        <v>0</v>
      </c>
      <c r="AP125" s="81">
        <v>83</v>
      </c>
      <c r="AQ125" s="81"/>
      <c r="AR125" s="81"/>
      <c r="AS125" s="81" t="s">
        <v>3378</v>
      </c>
      <c r="AT125" s="86" t="str">
        <f>HYPERLINK("https://www.youtube.com/channel/UCstj25ALeqDPigVPCbNunMA")</f>
        <v>https://www.youtube.com/channel/UCstj25ALeqDPigVPCbNunMA</v>
      </c>
      <c r="AU125" s="81" t="str">
        <f>REPLACE(INDEX(GroupVertices[Group],MATCH("~"&amp;Vertices[[#This Row],[Vertex]],GroupVertices[Vertex],0)),1,1,"")</f>
        <v>6</v>
      </c>
      <c r="AV125" s="49"/>
      <c r="AW125" s="49"/>
      <c r="AX125" s="49"/>
      <c r="AY125" s="49"/>
      <c r="AZ125" s="49"/>
      <c r="BA125" s="49"/>
      <c r="BB125" s="117" t="s">
        <v>3778</v>
      </c>
      <c r="BC125" s="117" t="s">
        <v>3778</v>
      </c>
      <c r="BD125" s="117" t="s">
        <v>4479</v>
      </c>
      <c r="BE125" s="117" t="s">
        <v>4479</v>
      </c>
      <c r="BF125" s="2"/>
      <c r="BG125" s="3"/>
      <c r="BH125" s="3"/>
      <c r="BI125" s="3"/>
      <c r="BJ125" s="3"/>
    </row>
    <row r="126" spans="1:62" ht="15">
      <c r="A126" s="66" t="s">
        <v>305</v>
      </c>
      <c r="B126" s="67"/>
      <c r="C126" s="67"/>
      <c r="D126" s="68">
        <v>50</v>
      </c>
      <c r="E126" s="70"/>
      <c r="F126" s="105" t="str">
        <f>HYPERLINK("https://yt3.ggpht.com/ytc/AIf8zZSqLkeYmnpbp2MrT72AvqdXQMTMQMBbwZ3-e6YCNZszGhWzfLqtKjIiVCbHuibc=s88-c-k-c0x00ffffff-no-rj")</f>
        <v>https://yt3.ggpht.com/ytc/AIf8zZSqLkeYmnpbp2MrT72AvqdXQMTMQMBbwZ3-e6YCNZszGhWzfLqtKjIiVCbHuibc=s88-c-k-c0x00ffffff-no-rj</v>
      </c>
      <c r="G126" s="67"/>
      <c r="H126" s="71" t="s">
        <v>2534</v>
      </c>
      <c r="I126" s="72"/>
      <c r="J126" s="72" t="s">
        <v>159</v>
      </c>
      <c r="K126" s="71" t="s">
        <v>2534</v>
      </c>
      <c r="L126" s="75">
        <v>1</v>
      </c>
      <c r="M126" s="76">
        <v>4053.267578125</v>
      </c>
      <c r="N126" s="76">
        <v>1243.033447265625</v>
      </c>
      <c r="O126" s="77"/>
      <c r="P126" s="78"/>
      <c r="Q126" s="78"/>
      <c r="R126" s="90"/>
      <c r="S126" s="49">
        <v>0</v>
      </c>
      <c r="T126" s="49">
        <v>1</v>
      </c>
      <c r="U126" s="50">
        <v>0</v>
      </c>
      <c r="V126" s="50">
        <v>0.255736</v>
      </c>
      <c r="W126" s="51"/>
      <c r="X126" s="51"/>
      <c r="Y126" s="51"/>
      <c r="Z126" s="50"/>
      <c r="AA126" s="73">
        <v>126</v>
      </c>
      <c r="AB126" s="73"/>
      <c r="AC126" s="74"/>
      <c r="AD126" s="81" t="s">
        <v>2534</v>
      </c>
      <c r="AE126" s="81"/>
      <c r="AF126" s="81"/>
      <c r="AG126" s="81"/>
      <c r="AH126" s="81"/>
      <c r="AI126" s="81" t="s">
        <v>3248</v>
      </c>
      <c r="AJ126" s="88">
        <v>45125.90828703704</v>
      </c>
      <c r="AK126" s="86" t="str">
        <f>HYPERLINK("https://yt3.ggpht.com/ytc/AIf8zZSqLkeYmnpbp2MrT72AvqdXQMTMQMBbwZ3-e6YCNZszGhWzfLqtKjIiVCbHuibc=s88-c-k-c0x00ffffff-no-rj")</f>
        <v>https://yt3.ggpht.com/ytc/AIf8zZSqLkeYmnpbp2MrT72AvqdXQMTMQMBbwZ3-e6YCNZszGhWzfLqtKjIiVCbHuibc=s88-c-k-c0x00ffffff-no-rj</v>
      </c>
      <c r="AL126" s="81">
        <v>0</v>
      </c>
      <c r="AM126" s="81">
        <v>0</v>
      </c>
      <c r="AN126" s="81">
        <v>0</v>
      </c>
      <c r="AO126" s="81" t="b">
        <v>0</v>
      </c>
      <c r="AP126" s="81">
        <v>0</v>
      </c>
      <c r="AQ126" s="81"/>
      <c r="AR126" s="81"/>
      <c r="AS126" s="81" t="s">
        <v>3378</v>
      </c>
      <c r="AT126" s="86" t="str">
        <f>HYPERLINK("https://www.youtube.com/channel/UC3eRkwESmEGviuGkhnauICg")</f>
        <v>https://www.youtube.com/channel/UC3eRkwESmEGviuGkhnauICg</v>
      </c>
      <c r="AU126" s="81" t="str">
        <f>REPLACE(INDEX(GroupVertices[Group],MATCH("~"&amp;Vertices[[#This Row],[Vertex]],GroupVertices[Vertex],0)),1,1,"")</f>
        <v>6</v>
      </c>
      <c r="AV126" s="49"/>
      <c r="AW126" s="49"/>
      <c r="AX126" s="49"/>
      <c r="AY126" s="49"/>
      <c r="AZ126" s="49"/>
      <c r="BA126" s="49"/>
      <c r="BB126" s="117" t="s">
        <v>3779</v>
      </c>
      <c r="BC126" s="117" t="s">
        <v>3779</v>
      </c>
      <c r="BD126" s="117" t="s">
        <v>4480</v>
      </c>
      <c r="BE126" s="117" t="s">
        <v>4480</v>
      </c>
      <c r="BF126" s="2"/>
      <c r="BG126" s="3"/>
      <c r="BH126" s="3"/>
      <c r="BI126" s="3"/>
      <c r="BJ126" s="3"/>
    </row>
    <row r="127" spans="1:62" ht="15">
      <c r="A127" s="66" t="s">
        <v>306</v>
      </c>
      <c r="B127" s="67"/>
      <c r="C127" s="67"/>
      <c r="D127" s="68">
        <v>50</v>
      </c>
      <c r="E127" s="70"/>
      <c r="F127" s="105" t="str">
        <f>HYPERLINK("https://yt3.ggpht.com/ytc/AIf8zZSwDHGxiANSKQ-SGJaheKFgQmzlFqE4B7xQ-g=s88-c-k-c0x00ffffff-no-rj")</f>
        <v>https://yt3.ggpht.com/ytc/AIf8zZSwDHGxiANSKQ-SGJaheKFgQmzlFqE4B7xQ-g=s88-c-k-c0x00ffffff-no-rj</v>
      </c>
      <c r="G127" s="67"/>
      <c r="H127" s="71" t="s">
        <v>2535</v>
      </c>
      <c r="I127" s="72"/>
      <c r="J127" s="72" t="s">
        <v>159</v>
      </c>
      <c r="K127" s="71" t="s">
        <v>2535</v>
      </c>
      <c r="L127" s="75">
        <v>1</v>
      </c>
      <c r="M127" s="76">
        <v>5801.66357421875</v>
      </c>
      <c r="N127" s="76">
        <v>2147.647705078125</v>
      </c>
      <c r="O127" s="77"/>
      <c r="P127" s="78"/>
      <c r="Q127" s="78"/>
      <c r="R127" s="90"/>
      <c r="S127" s="49">
        <v>0</v>
      </c>
      <c r="T127" s="49">
        <v>1</v>
      </c>
      <c r="U127" s="50">
        <v>0</v>
      </c>
      <c r="V127" s="50">
        <v>0.255736</v>
      </c>
      <c r="W127" s="51"/>
      <c r="X127" s="51"/>
      <c r="Y127" s="51"/>
      <c r="Z127" s="50"/>
      <c r="AA127" s="73">
        <v>127</v>
      </c>
      <c r="AB127" s="73"/>
      <c r="AC127" s="74"/>
      <c r="AD127" s="81" t="s">
        <v>2535</v>
      </c>
      <c r="AE127" s="81"/>
      <c r="AF127" s="81"/>
      <c r="AG127" s="81"/>
      <c r="AH127" s="81"/>
      <c r="AI127" s="81" t="s">
        <v>1772</v>
      </c>
      <c r="AJ127" s="88">
        <v>44155.39826388889</v>
      </c>
      <c r="AK127" s="86" t="str">
        <f>HYPERLINK("https://yt3.ggpht.com/ytc/AIf8zZSwDHGxiANSKQ-SGJaheKFgQmzlFqE4B7xQ-g=s88-c-k-c0x00ffffff-no-rj")</f>
        <v>https://yt3.ggpht.com/ytc/AIf8zZSwDHGxiANSKQ-SGJaheKFgQmzlFqE4B7xQ-g=s88-c-k-c0x00ffffff-no-rj</v>
      </c>
      <c r="AL127" s="81">
        <v>0</v>
      </c>
      <c r="AM127" s="81">
        <v>0</v>
      </c>
      <c r="AN127" s="81">
        <v>1</v>
      </c>
      <c r="AO127" s="81" t="b">
        <v>0</v>
      </c>
      <c r="AP127" s="81">
        <v>0</v>
      </c>
      <c r="AQ127" s="81"/>
      <c r="AR127" s="81"/>
      <c r="AS127" s="81" t="s">
        <v>3378</v>
      </c>
      <c r="AT127" s="86" t="str">
        <f>HYPERLINK("https://www.youtube.com/channel/UCsfNWGwpi43Y2Pkk7OGrQzQ")</f>
        <v>https://www.youtube.com/channel/UCsfNWGwpi43Y2Pkk7OGrQzQ</v>
      </c>
      <c r="AU127" s="81" t="str">
        <f>REPLACE(INDEX(GroupVertices[Group],MATCH("~"&amp;Vertices[[#This Row],[Vertex]],GroupVertices[Vertex],0)),1,1,"")</f>
        <v>6</v>
      </c>
      <c r="AV127" s="49"/>
      <c r="AW127" s="49"/>
      <c r="AX127" s="49"/>
      <c r="AY127" s="49"/>
      <c r="AZ127" s="49"/>
      <c r="BA127" s="49"/>
      <c r="BB127" s="117" t="s">
        <v>3780</v>
      </c>
      <c r="BC127" s="117" t="s">
        <v>3780</v>
      </c>
      <c r="BD127" s="117" t="s">
        <v>4481</v>
      </c>
      <c r="BE127" s="117" t="s">
        <v>4481</v>
      </c>
      <c r="BF127" s="2"/>
      <c r="BG127" s="3"/>
      <c r="BH127" s="3"/>
      <c r="BI127" s="3"/>
      <c r="BJ127" s="3"/>
    </row>
    <row r="128" spans="1:62" ht="15">
      <c r="A128" s="66" t="s">
        <v>307</v>
      </c>
      <c r="B128" s="67"/>
      <c r="C128" s="67"/>
      <c r="D128" s="68">
        <v>50</v>
      </c>
      <c r="E128" s="70"/>
      <c r="F128" s="105" t="str">
        <f>HYPERLINK("https://yt3.ggpht.com/ytc/AIf8zZSkiWuKKColp-idQPKJZZAmXtXAWpM0axNnJ4y2O68=s88-c-k-c0x00ffffff-no-rj")</f>
        <v>https://yt3.ggpht.com/ytc/AIf8zZSkiWuKKColp-idQPKJZZAmXtXAWpM0axNnJ4y2O68=s88-c-k-c0x00ffffff-no-rj</v>
      </c>
      <c r="G128" s="67"/>
      <c r="H128" s="71" t="s">
        <v>2536</v>
      </c>
      <c r="I128" s="72"/>
      <c r="J128" s="72" t="s">
        <v>159</v>
      </c>
      <c r="K128" s="71" t="s">
        <v>2536</v>
      </c>
      <c r="L128" s="75">
        <v>1</v>
      </c>
      <c r="M128" s="76">
        <v>4879.55078125</v>
      </c>
      <c r="N128" s="76">
        <v>1146.4046630859375</v>
      </c>
      <c r="O128" s="77"/>
      <c r="P128" s="78"/>
      <c r="Q128" s="78"/>
      <c r="R128" s="90"/>
      <c r="S128" s="49">
        <v>0</v>
      </c>
      <c r="T128" s="49">
        <v>1</v>
      </c>
      <c r="U128" s="50">
        <v>0</v>
      </c>
      <c r="V128" s="50">
        <v>0.255736</v>
      </c>
      <c r="W128" s="51"/>
      <c r="X128" s="51"/>
      <c r="Y128" s="51"/>
      <c r="Z128" s="50"/>
      <c r="AA128" s="73">
        <v>128</v>
      </c>
      <c r="AB128" s="73"/>
      <c r="AC128" s="74"/>
      <c r="AD128" s="81" t="s">
        <v>2536</v>
      </c>
      <c r="AE128" s="81"/>
      <c r="AF128" s="81"/>
      <c r="AG128" s="81"/>
      <c r="AH128" s="81"/>
      <c r="AI128" s="81" t="s">
        <v>1773</v>
      </c>
      <c r="AJ128" s="88">
        <v>41537.14759259259</v>
      </c>
      <c r="AK128" s="86" t="str">
        <f>HYPERLINK("https://yt3.ggpht.com/ytc/AIf8zZSkiWuKKColp-idQPKJZZAmXtXAWpM0axNnJ4y2O68=s88-c-k-c0x00ffffff-no-rj")</f>
        <v>https://yt3.ggpht.com/ytc/AIf8zZSkiWuKKColp-idQPKJZZAmXtXAWpM0axNnJ4y2O68=s88-c-k-c0x00ffffff-no-rj</v>
      </c>
      <c r="AL128" s="81">
        <v>0</v>
      </c>
      <c r="AM128" s="81">
        <v>0</v>
      </c>
      <c r="AN128" s="81">
        <v>1</v>
      </c>
      <c r="AO128" s="81" t="b">
        <v>0</v>
      </c>
      <c r="AP128" s="81">
        <v>0</v>
      </c>
      <c r="AQ128" s="81"/>
      <c r="AR128" s="81"/>
      <c r="AS128" s="81" t="s">
        <v>3378</v>
      </c>
      <c r="AT128" s="86" t="str">
        <f>HYPERLINK("https://www.youtube.com/channel/UC6s5Idg_F-TXZEsnG6Clllw")</f>
        <v>https://www.youtube.com/channel/UC6s5Idg_F-TXZEsnG6Clllw</v>
      </c>
      <c r="AU128" s="81" t="str">
        <f>REPLACE(INDEX(GroupVertices[Group],MATCH("~"&amp;Vertices[[#This Row],[Vertex]],GroupVertices[Vertex],0)),1,1,"")</f>
        <v>6</v>
      </c>
      <c r="AV128" s="49"/>
      <c r="AW128" s="49"/>
      <c r="AX128" s="49"/>
      <c r="AY128" s="49"/>
      <c r="AZ128" s="49"/>
      <c r="BA128" s="49"/>
      <c r="BB128" s="117" t="s">
        <v>3781</v>
      </c>
      <c r="BC128" s="117" t="s">
        <v>3781</v>
      </c>
      <c r="BD128" s="117" t="s">
        <v>4482</v>
      </c>
      <c r="BE128" s="117" t="s">
        <v>4482</v>
      </c>
      <c r="BF128" s="2"/>
      <c r="BG128" s="3"/>
      <c r="BH128" s="3"/>
      <c r="BI128" s="3"/>
      <c r="BJ128" s="3"/>
    </row>
    <row r="129" spans="1:62" ht="15">
      <c r="A129" s="66" t="s">
        <v>308</v>
      </c>
      <c r="B129" s="67"/>
      <c r="C129" s="67"/>
      <c r="D129" s="68">
        <v>50</v>
      </c>
      <c r="E129" s="70"/>
      <c r="F129" s="105" t="str">
        <f>HYPERLINK("https://yt3.ggpht.com/ytc/AIf8zZQRPPXnbvlxaHbO3R71iYC-0ZCBJsEfU6ibF4waUQ=s88-c-k-c0x00ffffff-no-rj")</f>
        <v>https://yt3.ggpht.com/ytc/AIf8zZQRPPXnbvlxaHbO3R71iYC-0ZCBJsEfU6ibF4waUQ=s88-c-k-c0x00ffffff-no-rj</v>
      </c>
      <c r="G129" s="67"/>
      <c r="H129" s="71" t="s">
        <v>2537</v>
      </c>
      <c r="I129" s="72"/>
      <c r="J129" s="72" t="s">
        <v>159</v>
      </c>
      <c r="K129" s="71" t="s">
        <v>2537</v>
      </c>
      <c r="L129" s="75">
        <v>1</v>
      </c>
      <c r="M129" s="76">
        <v>4318.08984375</v>
      </c>
      <c r="N129" s="76">
        <v>686.7368774414062</v>
      </c>
      <c r="O129" s="77"/>
      <c r="P129" s="78"/>
      <c r="Q129" s="78"/>
      <c r="R129" s="90"/>
      <c r="S129" s="49">
        <v>0</v>
      </c>
      <c r="T129" s="49">
        <v>1</v>
      </c>
      <c r="U129" s="50">
        <v>0</v>
      </c>
      <c r="V129" s="50">
        <v>0.255736</v>
      </c>
      <c r="W129" s="51"/>
      <c r="X129" s="51"/>
      <c r="Y129" s="51"/>
      <c r="Z129" s="50"/>
      <c r="AA129" s="73">
        <v>129</v>
      </c>
      <c r="AB129" s="73"/>
      <c r="AC129" s="74"/>
      <c r="AD129" s="81" t="s">
        <v>2537</v>
      </c>
      <c r="AE129" s="81"/>
      <c r="AF129" s="81"/>
      <c r="AG129" s="81"/>
      <c r="AH129" s="81"/>
      <c r="AI129" s="81" t="s">
        <v>1774</v>
      </c>
      <c r="AJ129" s="88">
        <v>44242.34612268519</v>
      </c>
      <c r="AK129" s="86" t="str">
        <f>HYPERLINK("https://yt3.ggpht.com/ytc/AIf8zZQRPPXnbvlxaHbO3R71iYC-0ZCBJsEfU6ibF4waUQ=s88-c-k-c0x00ffffff-no-rj")</f>
        <v>https://yt3.ggpht.com/ytc/AIf8zZQRPPXnbvlxaHbO3R71iYC-0ZCBJsEfU6ibF4waUQ=s88-c-k-c0x00ffffff-no-rj</v>
      </c>
      <c r="AL129" s="81">
        <v>504</v>
      </c>
      <c r="AM129" s="81">
        <v>0</v>
      </c>
      <c r="AN129" s="81">
        <v>22</v>
      </c>
      <c r="AO129" s="81" t="b">
        <v>0</v>
      </c>
      <c r="AP129" s="81">
        <v>5</v>
      </c>
      <c r="AQ129" s="81"/>
      <c r="AR129" s="81"/>
      <c r="AS129" s="81" t="s">
        <v>3378</v>
      </c>
      <c r="AT129" s="86" t="str">
        <f>HYPERLINK("https://www.youtube.com/channel/UCvuHTnj3TwaPESOVScxBTng")</f>
        <v>https://www.youtube.com/channel/UCvuHTnj3TwaPESOVScxBTng</v>
      </c>
      <c r="AU129" s="81" t="str">
        <f>REPLACE(INDEX(GroupVertices[Group],MATCH("~"&amp;Vertices[[#This Row],[Vertex]],GroupVertices[Vertex],0)),1,1,"")</f>
        <v>6</v>
      </c>
      <c r="AV129" s="49"/>
      <c r="AW129" s="49"/>
      <c r="AX129" s="49"/>
      <c r="AY129" s="49"/>
      <c r="AZ129" s="49"/>
      <c r="BA129" s="49"/>
      <c r="BB129" s="117" t="s">
        <v>3782</v>
      </c>
      <c r="BC129" s="117" t="s">
        <v>3782</v>
      </c>
      <c r="BD129" s="117" t="s">
        <v>4483</v>
      </c>
      <c r="BE129" s="117" t="s">
        <v>4483</v>
      </c>
      <c r="BF129" s="2"/>
      <c r="BG129" s="3"/>
      <c r="BH129" s="3"/>
      <c r="BI129" s="3"/>
      <c r="BJ129" s="3"/>
    </row>
    <row r="130" spans="1:62" ht="15">
      <c r="A130" s="66" t="s">
        <v>309</v>
      </c>
      <c r="B130" s="67"/>
      <c r="C130" s="67"/>
      <c r="D130" s="68">
        <v>50</v>
      </c>
      <c r="E130" s="70"/>
      <c r="F130" s="105" t="str">
        <f>HYPERLINK("https://yt3.ggpht.com/ytc/AIf8zZRpiZ1V6W_HMCH_1CRwZ0dYLhgABPGgEFsFEw=s88-c-k-c0x00ffffff-no-rj")</f>
        <v>https://yt3.ggpht.com/ytc/AIf8zZRpiZ1V6W_HMCH_1CRwZ0dYLhgABPGgEFsFEw=s88-c-k-c0x00ffffff-no-rj</v>
      </c>
      <c r="G130" s="67"/>
      <c r="H130" s="71" t="s">
        <v>2538</v>
      </c>
      <c r="I130" s="72"/>
      <c r="J130" s="72" t="s">
        <v>159</v>
      </c>
      <c r="K130" s="71" t="s">
        <v>2538</v>
      </c>
      <c r="L130" s="75">
        <v>1</v>
      </c>
      <c r="M130" s="76">
        <v>4696.78369140625</v>
      </c>
      <c r="N130" s="76">
        <v>2697.3603515625</v>
      </c>
      <c r="O130" s="77"/>
      <c r="P130" s="78"/>
      <c r="Q130" s="78"/>
      <c r="R130" s="90"/>
      <c r="S130" s="49">
        <v>0</v>
      </c>
      <c r="T130" s="49">
        <v>1</v>
      </c>
      <c r="U130" s="50">
        <v>0</v>
      </c>
      <c r="V130" s="50">
        <v>0.255736</v>
      </c>
      <c r="W130" s="51"/>
      <c r="X130" s="51"/>
      <c r="Y130" s="51"/>
      <c r="Z130" s="50"/>
      <c r="AA130" s="73">
        <v>130</v>
      </c>
      <c r="AB130" s="73"/>
      <c r="AC130" s="74"/>
      <c r="AD130" s="81" t="s">
        <v>2538</v>
      </c>
      <c r="AE130" s="81"/>
      <c r="AF130" s="81"/>
      <c r="AG130" s="81"/>
      <c r="AH130" s="81"/>
      <c r="AI130" s="81" t="s">
        <v>1775</v>
      </c>
      <c r="AJ130" s="88">
        <v>38845.545381944445</v>
      </c>
      <c r="AK130" s="86" t="str">
        <f>HYPERLINK("https://yt3.ggpht.com/ytc/AIf8zZRpiZ1V6W_HMCH_1CRwZ0dYLhgABPGgEFsFEw=s88-c-k-c0x00ffffff-no-rj")</f>
        <v>https://yt3.ggpht.com/ytc/AIf8zZRpiZ1V6W_HMCH_1CRwZ0dYLhgABPGgEFsFEw=s88-c-k-c0x00ffffff-no-rj</v>
      </c>
      <c r="AL130" s="81">
        <v>0</v>
      </c>
      <c r="AM130" s="81">
        <v>0</v>
      </c>
      <c r="AN130" s="81">
        <v>2</v>
      </c>
      <c r="AO130" s="81" t="b">
        <v>0</v>
      </c>
      <c r="AP130" s="81">
        <v>0</v>
      </c>
      <c r="AQ130" s="81"/>
      <c r="AR130" s="81"/>
      <c r="AS130" s="81" t="s">
        <v>3378</v>
      </c>
      <c r="AT130" s="86" t="str">
        <f>HYPERLINK("https://www.youtube.com/channel/UCeL0VP9DdotQN2UeaVU1dYw")</f>
        <v>https://www.youtube.com/channel/UCeL0VP9DdotQN2UeaVU1dYw</v>
      </c>
      <c r="AU130" s="81" t="str">
        <f>REPLACE(INDEX(GroupVertices[Group],MATCH("~"&amp;Vertices[[#This Row],[Vertex]],GroupVertices[Vertex],0)),1,1,"")</f>
        <v>6</v>
      </c>
      <c r="AV130" s="49"/>
      <c r="AW130" s="49"/>
      <c r="AX130" s="49"/>
      <c r="AY130" s="49"/>
      <c r="AZ130" s="49"/>
      <c r="BA130" s="49"/>
      <c r="BB130" s="117" t="s">
        <v>3783</v>
      </c>
      <c r="BC130" s="117" t="s">
        <v>3783</v>
      </c>
      <c r="BD130" s="117" t="s">
        <v>4484</v>
      </c>
      <c r="BE130" s="117" t="s">
        <v>4484</v>
      </c>
      <c r="BF130" s="2"/>
      <c r="BG130" s="3"/>
      <c r="BH130" s="3"/>
      <c r="BI130" s="3"/>
      <c r="BJ130" s="3"/>
    </row>
    <row r="131" spans="1:62" ht="15">
      <c r="A131" s="66" t="s">
        <v>310</v>
      </c>
      <c r="B131" s="67"/>
      <c r="C131" s="67"/>
      <c r="D131" s="68">
        <v>50</v>
      </c>
      <c r="E131" s="70"/>
      <c r="F131" s="105" t="str">
        <f>HYPERLINK("https://yt3.ggpht.com/ytc/AIf8zZRY-fEYpKXOGDZH_BcBLdyM0KeYAzw-OPcwcQ=s88-c-k-c0x00ffffff-no-rj")</f>
        <v>https://yt3.ggpht.com/ytc/AIf8zZRY-fEYpKXOGDZH_BcBLdyM0KeYAzw-OPcwcQ=s88-c-k-c0x00ffffff-no-rj</v>
      </c>
      <c r="G131" s="67"/>
      <c r="H131" s="71" t="s">
        <v>2539</v>
      </c>
      <c r="I131" s="72"/>
      <c r="J131" s="72" t="s">
        <v>159</v>
      </c>
      <c r="K131" s="71" t="s">
        <v>2539</v>
      </c>
      <c r="L131" s="75">
        <v>1</v>
      </c>
      <c r="M131" s="76">
        <v>3938.79296875</v>
      </c>
      <c r="N131" s="76">
        <v>1985.6806640625</v>
      </c>
      <c r="O131" s="77"/>
      <c r="P131" s="78"/>
      <c r="Q131" s="78"/>
      <c r="R131" s="90"/>
      <c r="S131" s="49">
        <v>0</v>
      </c>
      <c r="T131" s="49">
        <v>1</v>
      </c>
      <c r="U131" s="50">
        <v>0</v>
      </c>
      <c r="V131" s="50">
        <v>0.255736</v>
      </c>
      <c r="W131" s="51"/>
      <c r="X131" s="51"/>
      <c r="Y131" s="51"/>
      <c r="Z131" s="50"/>
      <c r="AA131" s="73">
        <v>131</v>
      </c>
      <c r="AB131" s="73"/>
      <c r="AC131" s="74"/>
      <c r="AD131" s="81" t="s">
        <v>2539</v>
      </c>
      <c r="AE131" s="81"/>
      <c r="AF131" s="81"/>
      <c r="AG131" s="81"/>
      <c r="AH131" s="81"/>
      <c r="AI131" s="81" t="s">
        <v>3249</v>
      </c>
      <c r="AJ131" s="88">
        <v>40293.88315972222</v>
      </c>
      <c r="AK131" s="86" t="str">
        <f>HYPERLINK("https://yt3.ggpht.com/ytc/AIf8zZRY-fEYpKXOGDZH_BcBLdyM0KeYAzw-OPcwcQ=s88-c-k-c0x00ffffff-no-rj")</f>
        <v>https://yt3.ggpht.com/ytc/AIf8zZRY-fEYpKXOGDZH_BcBLdyM0KeYAzw-OPcwcQ=s88-c-k-c0x00ffffff-no-rj</v>
      </c>
      <c r="AL131" s="81">
        <v>0</v>
      </c>
      <c r="AM131" s="81">
        <v>0</v>
      </c>
      <c r="AN131" s="81">
        <v>0</v>
      </c>
      <c r="AO131" s="81" t="b">
        <v>0</v>
      </c>
      <c r="AP131" s="81">
        <v>0</v>
      </c>
      <c r="AQ131" s="81"/>
      <c r="AR131" s="81"/>
      <c r="AS131" s="81" t="s">
        <v>3378</v>
      </c>
      <c r="AT131" s="86" t="str">
        <f>HYPERLINK("https://www.youtube.com/channel/UCajmjMqlO4PX_1lub9OVlDA")</f>
        <v>https://www.youtube.com/channel/UCajmjMqlO4PX_1lub9OVlDA</v>
      </c>
      <c r="AU131" s="81" t="str">
        <f>REPLACE(INDEX(GroupVertices[Group],MATCH("~"&amp;Vertices[[#This Row],[Vertex]],GroupVertices[Vertex],0)),1,1,"")</f>
        <v>6</v>
      </c>
      <c r="AV131" s="49" t="s">
        <v>3667</v>
      </c>
      <c r="AW131" s="49" t="s">
        <v>3667</v>
      </c>
      <c r="AX131" s="49" t="s">
        <v>2414</v>
      </c>
      <c r="AY131" s="49" t="s">
        <v>2414</v>
      </c>
      <c r="AZ131" s="49"/>
      <c r="BA131" s="49"/>
      <c r="BB131" s="117" t="s">
        <v>3784</v>
      </c>
      <c r="BC131" s="117" t="s">
        <v>3784</v>
      </c>
      <c r="BD131" s="117" t="s">
        <v>4485</v>
      </c>
      <c r="BE131" s="117" t="s">
        <v>4485</v>
      </c>
      <c r="BF131" s="2"/>
      <c r="BG131" s="3"/>
      <c r="BH131" s="3"/>
      <c r="BI131" s="3"/>
      <c r="BJ131" s="3"/>
    </row>
    <row r="132" spans="1:62" ht="15">
      <c r="A132" s="66" t="s">
        <v>311</v>
      </c>
      <c r="B132" s="67"/>
      <c r="C132" s="67"/>
      <c r="D132" s="68">
        <v>50</v>
      </c>
      <c r="E132" s="70"/>
      <c r="F132" s="105" t="str">
        <f>HYPERLINK("https://yt3.ggpht.com/ytc/AIf8zZSXxdfV8UEJi2ijvj2xnEy-SPwb9HK4mlSv3rFwow=s88-c-k-c0x00ffffff-no-rj")</f>
        <v>https://yt3.ggpht.com/ytc/AIf8zZSXxdfV8UEJi2ijvj2xnEy-SPwb9HK4mlSv3rFwow=s88-c-k-c0x00ffffff-no-rj</v>
      </c>
      <c r="G132" s="67"/>
      <c r="H132" s="71" t="s">
        <v>2540</v>
      </c>
      <c r="I132" s="72"/>
      <c r="J132" s="72" t="s">
        <v>159</v>
      </c>
      <c r="K132" s="71" t="s">
        <v>2540</v>
      </c>
      <c r="L132" s="75">
        <v>1</v>
      </c>
      <c r="M132" s="76">
        <v>5986.66259765625</v>
      </c>
      <c r="N132" s="76">
        <v>2924.950439453125</v>
      </c>
      <c r="O132" s="77"/>
      <c r="P132" s="78"/>
      <c r="Q132" s="78"/>
      <c r="R132" s="90"/>
      <c r="S132" s="49">
        <v>0</v>
      </c>
      <c r="T132" s="49">
        <v>1</v>
      </c>
      <c r="U132" s="50">
        <v>0</v>
      </c>
      <c r="V132" s="50">
        <v>0.255736</v>
      </c>
      <c r="W132" s="51"/>
      <c r="X132" s="51"/>
      <c r="Y132" s="51"/>
      <c r="Z132" s="50"/>
      <c r="AA132" s="73">
        <v>132</v>
      </c>
      <c r="AB132" s="73"/>
      <c r="AC132" s="74"/>
      <c r="AD132" s="81" t="s">
        <v>2540</v>
      </c>
      <c r="AE132" s="81"/>
      <c r="AF132" s="81"/>
      <c r="AG132" s="81"/>
      <c r="AH132" s="81"/>
      <c r="AI132" s="81" t="s">
        <v>1777</v>
      </c>
      <c r="AJ132" s="88">
        <v>41559.8912037037</v>
      </c>
      <c r="AK132" s="86" t="str">
        <f>HYPERLINK("https://yt3.ggpht.com/ytc/AIf8zZSXxdfV8UEJi2ijvj2xnEy-SPwb9HK4mlSv3rFwow=s88-c-k-c0x00ffffff-no-rj")</f>
        <v>https://yt3.ggpht.com/ytc/AIf8zZSXxdfV8UEJi2ijvj2xnEy-SPwb9HK4mlSv3rFwow=s88-c-k-c0x00ffffff-no-rj</v>
      </c>
      <c r="AL132" s="81">
        <v>104</v>
      </c>
      <c r="AM132" s="81">
        <v>0</v>
      </c>
      <c r="AN132" s="81">
        <v>1</v>
      </c>
      <c r="AO132" s="81" t="b">
        <v>0</v>
      </c>
      <c r="AP132" s="81">
        <v>4</v>
      </c>
      <c r="AQ132" s="81"/>
      <c r="AR132" s="81"/>
      <c r="AS132" s="81" t="s">
        <v>3378</v>
      </c>
      <c r="AT132" s="86" t="str">
        <f>HYPERLINK("https://www.youtube.com/channel/UCiPYYzqbaZqkmYZmAxHs3yg")</f>
        <v>https://www.youtube.com/channel/UCiPYYzqbaZqkmYZmAxHs3yg</v>
      </c>
      <c r="AU132" s="81" t="str">
        <f>REPLACE(INDEX(GroupVertices[Group],MATCH("~"&amp;Vertices[[#This Row],[Vertex]],GroupVertices[Vertex],0)),1,1,"")</f>
        <v>6</v>
      </c>
      <c r="AV132" s="49"/>
      <c r="AW132" s="49"/>
      <c r="AX132" s="49"/>
      <c r="AY132" s="49"/>
      <c r="AZ132" s="49"/>
      <c r="BA132" s="49"/>
      <c r="BB132" s="117" t="s">
        <v>3785</v>
      </c>
      <c r="BC132" s="117" t="s">
        <v>3785</v>
      </c>
      <c r="BD132" s="117" t="s">
        <v>4486</v>
      </c>
      <c r="BE132" s="117" t="s">
        <v>4486</v>
      </c>
      <c r="BF132" s="2"/>
      <c r="BG132" s="3"/>
      <c r="BH132" s="3"/>
      <c r="BI132" s="3"/>
      <c r="BJ132" s="3"/>
    </row>
    <row r="133" spans="1:62" ht="15">
      <c r="A133" s="66" t="s">
        <v>312</v>
      </c>
      <c r="B133" s="67"/>
      <c r="C133" s="67"/>
      <c r="D133" s="68">
        <v>50</v>
      </c>
      <c r="E133" s="70"/>
      <c r="F133" s="105" t="str">
        <f>HYPERLINK("https://yt3.ggpht.com/ytc/AIf8zZTCFoUoG2eKH_GcAaog0jpW8jLT4X-EJ2J3yQ=s88-c-k-c0x00ffffff-no-rj")</f>
        <v>https://yt3.ggpht.com/ytc/AIf8zZTCFoUoG2eKH_GcAaog0jpW8jLT4X-EJ2J3yQ=s88-c-k-c0x00ffffff-no-rj</v>
      </c>
      <c r="G133" s="67"/>
      <c r="H133" s="71" t="s">
        <v>2541</v>
      </c>
      <c r="I133" s="72"/>
      <c r="J133" s="72" t="s">
        <v>159</v>
      </c>
      <c r="K133" s="71" t="s">
        <v>2541</v>
      </c>
      <c r="L133" s="75">
        <v>1</v>
      </c>
      <c r="M133" s="76">
        <v>5462.1552734375</v>
      </c>
      <c r="N133" s="76">
        <v>482.2765197753906</v>
      </c>
      <c r="O133" s="77"/>
      <c r="P133" s="78"/>
      <c r="Q133" s="78"/>
      <c r="R133" s="90"/>
      <c r="S133" s="49">
        <v>0</v>
      </c>
      <c r="T133" s="49">
        <v>1</v>
      </c>
      <c r="U133" s="50">
        <v>0</v>
      </c>
      <c r="V133" s="50">
        <v>0.255736</v>
      </c>
      <c r="W133" s="51"/>
      <c r="X133" s="51"/>
      <c r="Y133" s="51"/>
      <c r="Z133" s="50"/>
      <c r="AA133" s="73">
        <v>133</v>
      </c>
      <c r="AB133" s="73"/>
      <c r="AC133" s="74"/>
      <c r="AD133" s="81" t="s">
        <v>2541</v>
      </c>
      <c r="AE133" s="81"/>
      <c r="AF133" s="81"/>
      <c r="AG133" s="81"/>
      <c r="AH133" s="81"/>
      <c r="AI133" s="81" t="s">
        <v>1778</v>
      </c>
      <c r="AJ133" s="88">
        <v>43958.63162037037</v>
      </c>
      <c r="AK133" s="86" t="str">
        <f>HYPERLINK("https://yt3.ggpht.com/ytc/AIf8zZTCFoUoG2eKH_GcAaog0jpW8jLT4X-EJ2J3yQ=s88-c-k-c0x00ffffff-no-rj")</f>
        <v>https://yt3.ggpht.com/ytc/AIf8zZTCFoUoG2eKH_GcAaog0jpW8jLT4X-EJ2J3yQ=s88-c-k-c0x00ffffff-no-rj</v>
      </c>
      <c r="AL133" s="81">
        <v>0</v>
      </c>
      <c r="AM133" s="81">
        <v>0</v>
      </c>
      <c r="AN133" s="81">
        <v>0</v>
      </c>
      <c r="AO133" s="81" t="b">
        <v>0</v>
      </c>
      <c r="AP133" s="81">
        <v>0</v>
      </c>
      <c r="AQ133" s="81"/>
      <c r="AR133" s="81"/>
      <c r="AS133" s="81" t="s">
        <v>3378</v>
      </c>
      <c r="AT133" s="86" t="str">
        <f>HYPERLINK("https://www.youtube.com/channel/UCUvsx-Xqp2WHI5fa6U6DB_A")</f>
        <v>https://www.youtube.com/channel/UCUvsx-Xqp2WHI5fa6U6DB_A</v>
      </c>
      <c r="AU133" s="81" t="str">
        <f>REPLACE(INDEX(GroupVertices[Group],MATCH("~"&amp;Vertices[[#This Row],[Vertex]],GroupVertices[Vertex],0)),1,1,"")</f>
        <v>6</v>
      </c>
      <c r="AV133" s="49"/>
      <c r="AW133" s="49"/>
      <c r="AX133" s="49"/>
      <c r="AY133" s="49"/>
      <c r="AZ133" s="49"/>
      <c r="BA133" s="49"/>
      <c r="BB133" s="117" t="s">
        <v>3786</v>
      </c>
      <c r="BC133" s="117" t="s">
        <v>3786</v>
      </c>
      <c r="BD133" s="117" t="s">
        <v>4487</v>
      </c>
      <c r="BE133" s="117" t="s">
        <v>4487</v>
      </c>
      <c r="BF133" s="2"/>
      <c r="BG133" s="3"/>
      <c r="BH133" s="3"/>
      <c r="BI133" s="3"/>
      <c r="BJ133" s="3"/>
    </row>
    <row r="134" spans="1:62" ht="15">
      <c r="A134" s="66" t="s">
        <v>313</v>
      </c>
      <c r="B134" s="67"/>
      <c r="C134" s="67"/>
      <c r="D134" s="68">
        <v>50</v>
      </c>
      <c r="E134" s="70"/>
      <c r="F134" s="105" t="str">
        <f>HYPERLINK("https://yt3.ggpht.com/ytc/AIf8zZQQwbGyxolQlxSbdOfOoIYg2-4qJj4Hy5HmrUIK=s88-c-k-c0x00ffffff-no-rj")</f>
        <v>https://yt3.ggpht.com/ytc/AIf8zZQQwbGyxolQlxSbdOfOoIYg2-4qJj4Hy5HmrUIK=s88-c-k-c0x00ffffff-no-rj</v>
      </c>
      <c r="G134" s="67"/>
      <c r="H134" s="71" t="s">
        <v>2542</v>
      </c>
      <c r="I134" s="72"/>
      <c r="J134" s="72" t="s">
        <v>159</v>
      </c>
      <c r="K134" s="71" t="s">
        <v>2542</v>
      </c>
      <c r="L134" s="75">
        <v>1</v>
      </c>
      <c r="M134" s="76">
        <v>4837.3916015625</v>
      </c>
      <c r="N134" s="76">
        <v>152.4237823486328</v>
      </c>
      <c r="O134" s="77"/>
      <c r="P134" s="78"/>
      <c r="Q134" s="78"/>
      <c r="R134" s="90"/>
      <c r="S134" s="49">
        <v>0</v>
      </c>
      <c r="T134" s="49">
        <v>1</v>
      </c>
      <c r="U134" s="50">
        <v>0</v>
      </c>
      <c r="V134" s="50">
        <v>0.255736</v>
      </c>
      <c r="W134" s="51"/>
      <c r="X134" s="51"/>
      <c r="Y134" s="51"/>
      <c r="Z134" s="50"/>
      <c r="AA134" s="73">
        <v>134</v>
      </c>
      <c r="AB134" s="73"/>
      <c r="AC134" s="74"/>
      <c r="AD134" s="81" t="s">
        <v>2542</v>
      </c>
      <c r="AE134" s="81"/>
      <c r="AF134" s="81"/>
      <c r="AG134" s="81"/>
      <c r="AH134" s="81"/>
      <c r="AI134" s="81" t="s">
        <v>1779</v>
      </c>
      <c r="AJ134" s="88">
        <v>41293.22439814815</v>
      </c>
      <c r="AK134" s="86" t="str">
        <f>HYPERLINK("https://yt3.ggpht.com/ytc/AIf8zZQQwbGyxolQlxSbdOfOoIYg2-4qJj4Hy5HmrUIK=s88-c-k-c0x00ffffff-no-rj")</f>
        <v>https://yt3.ggpht.com/ytc/AIf8zZQQwbGyxolQlxSbdOfOoIYg2-4qJj4Hy5HmrUIK=s88-c-k-c0x00ffffff-no-rj</v>
      </c>
      <c r="AL134" s="81">
        <v>0</v>
      </c>
      <c r="AM134" s="81">
        <v>0</v>
      </c>
      <c r="AN134" s="81">
        <v>1</v>
      </c>
      <c r="AO134" s="81" t="b">
        <v>0</v>
      </c>
      <c r="AP134" s="81">
        <v>0</v>
      </c>
      <c r="AQ134" s="81"/>
      <c r="AR134" s="81"/>
      <c r="AS134" s="81" t="s">
        <v>3378</v>
      </c>
      <c r="AT134" s="86" t="str">
        <f>HYPERLINK("https://www.youtube.com/channel/UCjIlhKpZohPeyDaTBs9q_lw")</f>
        <v>https://www.youtube.com/channel/UCjIlhKpZohPeyDaTBs9q_lw</v>
      </c>
      <c r="AU134" s="81" t="str">
        <f>REPLACE(INDEX(GroupVertices[Group],MATCH("~"&amp;Vertices[[#This Row],[Vertex]],GroupVertices[Vertex],0)),1,1,"")</f>
        <v>6</v>
      </c>
      <c r="AV134" s="49"/>
      <c r="AW134" s="49"/>
      <c r="AX134" s="49"/>
      <c r="AY134" s="49"/>
      <c r="AZ134" s="49"/>
      <c r="BA134" s="49"/>
      <c r="BB134" s="117" t="s">
        <v>3787</v>
      </c>
      <c r="BC134" s="117" t="s">
        <v>3787</v>
      </c>
      <c r="BD134" s="117" t="s">
        <v>4488</v>
      </c>
      <c r="BE134" s="117" t="s">
        <v>4488</v>
      </c>
      <c r="BF134" s="2"/>
      <c r="BG134" s="3"/>
      <c r="BH134" s="3"/>
      <c r="BI134" s="3"/>
      <c r="BJ134" s="3"/>
    </row>
    <row r="135" spans="1:62" ht="15">
      <c r="A135" s="66" t="s">
        <v>314</v>
      </c>
      <c r="B135" s="67"/>
      <c r="C135" s="67"/>
      <c r="D135" s="68">
        <v>50</v>
      </c>
      <c r="E135" s="70"/>
      <c r="F135" s="105" t="str">
        <f>HYPERLINK("https://yt3.ggpht.com/ytc/AIf8zZRJRrIBGqX0ZS8EqwWoUiluWdv7YDVNM77D3Q=s88-c-k-c0x00ffffff-no-rj")</f>
        <v>https://yt3.ggpht.com/ytc/AIf8zZRJRrIBGqX0ZS8EqwWoUiluWdv7YDVNM77D3Q=s88-c-k-c0x00ffffff-no-rj</v>
      </c>
      <c r="G135" s="67"/>
      <c r="H135" s="71" t="s">
        <v>2543</v>
      </c>
      <c r="I135" s="72"/>
      <c r="J135" s="72" t="s">
        <v>159</v>
      </c>
      <c r="K135" s="71" t="s">
        <v>2543</v>
      </c>
      <c r="L135" s="75">
        <v>1</v>
      </c>
      <c r="M135" s="76">
        <v>4130.62353515625</v>
      </c>
      <c r="N135" s="76">
        <v>2322.36669921875</v>
      </c>
      <c r="O135" s="77"/>
      <c r="P135" s="78"/>
      <c r="Q135" s="78"/>
      <c r="R135" s="90"/>
      <c r="S135" s="49">
        <v>0</v>
      </c>
      <c r="T135" s="49">
        <v>1</v>
      </c>
      <c r="U135" s="50">
        <v>0</v>
      </c>
      <c r="V135" s="50">
        <v>0.255736</v>
      </c>
      <c r="W135" s="51"/>
      <c r="X135" s="51"/>
      <c r="Y135" s="51"/>
      <c r="Z135" s="50"/>
      <c r="AA135" s="73">
        <v>135</v>
      </c>
      <c r="AB135" s="73"/>
      <c r="AC135" s="74"/>
      <c r="AD135" s="81" t="s">
        <v>2543</v>
      </c>
      <c r="AE135" s="81"/>
      <c r="AF135" s="81"/>
      <c r="AG135" s="81"/>
      <c r="AH135" s="81"/>
      <c r="AI135" s="81" t="s">
        <v>1780</v>
      </c>
      <c r="AJ135" s="88">
        <v>40835.77327546296</v>
      </c>
      <c r="AK135" s="86" t="str">
        <f>HYPERLINK("https://yt3.ggpht.com/ytc/AIf8zZRJRrIBGqX0ZS8EqwWoUiluWdv7YDVNM77D3Q=s88-c-k-c0x00ffffff-no-rj")</f>
        <v>https://yt3.ggpht.com/ytc/AIf8zZRJRrIBGqX0ZS8EqwWoUiluWdv7YDVNM77D3Q=s88-c-k-c0x00ffffff-no-rj</v>
      </c>
      <c r="AL135" s="81">
        <v>0</v>
      </c>
      <c r="AM135" s="81">
        <v>0</v>
      </c>
      <c r="AN135" s="81">
        <v>0</v>
      </c>
      <c r="AO135" s="81" t="b">
        <v>0</v>
      </c>
      <c r="AP135" s="81">
        <v>0</v>
      </c>
      <c r="AQ135" s="81"/>
      <c r="AR135" s="81"/>
      <c r="AS135" s="81" t="s">
        <v>3378</v>
      </c>
      <c r="AT135" s="86" t="str">
        <f>HYPERLINK("https://www.youtube.com/channel/UChfVVfDoYmqlgezM1nXe_KA")</f>
        <v>https://www.youtube.com/channel/UChfVVfDoYmqlgezM1nXe_KA</v>
      </c>
      <c r="AU135" s="81" t="str">
        <f>REPLACE(INDEX(GroupVertices[Group],MATCH("~"&amp;Vertices[[#This Row],[Vertex]],GroupVertices[Vertex],0)),1,1,"")</f>
        <v>6</v>
      </c>
      <c r="AV135" s="49" t="s">
        <v>3668</v>
      </c>
      <c r="AW135" s="49" t="s">
        <v>3668</v>
      </c>
      <c r="AX135" s="49" t="s">
        <v>3527</v>
      </c>
      <c r="AY135" s="49" t="s">
        <v>3527</v>
      </c>
      <c r="AZ135" s="49"/>
      <c r="BA135" s="49"/>
      <c r="BB135" s="117" t="s">
        <v>3788</v>
      </c>
      <c r="BC135" s="117" t="s">
        <v>3788</v>
      </c>
      <c r="BD135" s="117" t="s">
        <v>4489</v>
      </c>
      <c r="BE135" s="117" t="s">
        <v>4489</v>
      </c>
      <c r="BF135" s="2"/>
      <c r="BG135" s="3"/>
      <c r="BH135" s="3"/>
      <c r="BI135" s="3"/>
      <c r="BJ135" s="3"/>
    </row>
    <row r="136" spans="1:62" ht="15">
      <c r="A136" s="66" t="s">
        <v>315</v>
      </c>
      <c r="B136" s="67"/>
      <c r="C136" s="67"/>
      <c r="D136" s="68">
        <v>50</v>
      </c>
      <c r="E136" s="70"/>
      <c r="F136" s="105" t="str">
        <f>HYPERLINK("https://yt3.ggpht.com/ytc/AIf8zZRz6EQ0MYAIcSOorxxKtVOPqzT9tyQosRcXltx2tCA=s88-c-k-c0x00ffffff-no-rj")</f>
        <v>https://yt3.ggpht.com/ytc/AIf8zZRz6EQ0MYAIcSOorxxKtVOPqzT9tyQosRcXltx2tCA=s88-c-k-c0x00ffffff-no-rj</v>
      </c>
      <c r="G136" s="67"/>
      <c r="H136" s="71" t="s">
        <v>2544</v>
      </c>
      <c r="I136" s="72"/>
      <c r="J136" s="72" t="s">
        <v>159</v>
      </c>
      <c r="K136" s="71" t="s">
        <v>2544</v>
      </c>
      <c r="L136" s="75">
        <v>1</v>
      </c>
      <c r="M136" s="76">
        <v>3975.7236328125</v>
      </c>
      <c r="N136" s="76">
        <v>1638.3062744140625</v>
      </c>
      <c r="O136" s="77"/>
      <c r="P136" s="78"/>
      <c r="Q136" s="78"/>
      <c r="R136" s="90"/>
      <c r="S136" s="49">
        <v>0</v>
      </c>
      <c r="T136" s="49">
        <v>1</v>
      </c>
      <c r="U136" s="50">
        <v>0</v>
      </c>
      <c r="V136" s="50">
        <v>0.255736</v>
      </c>
      <c r="W136" s="51"/>
      <c r="X136" s="51"/>
      <c r="Y136" s="51"/>
      <c r="Z136" s="50"/>
      <c r="AA136" s="73">
        <v>136</v>
      </c>
      <c r="AB136" s="73"/>
      <c r="AC136" s="74"/>
      <c r="AD136" s="81" t="s">
        <v>2544</v>
      </c>
      <c r="AE136" s="81"/>
      <c r="AF136" s="81"/>
      <c r="AG136" s="81"/>
      <c r="AH136" s="81"/>
      <c r="AI136" s="81" t="s">
        <v>1781</v>
      </c>
      <c r="AJ136" s="88">
        <v>39511.17039351852</v>
      </c>
      <c r="AK136" s="86" t="str">
        <f>HYPERLINK("https://yt3.ggpht.com/ytc/AIf8zZRz6EQ0MYAIcSOorxxKtVOPqzT9tyQosRcXltx2tCA=s88-c-k-c0x00ffffff-no-rj")</f>
        <v>https://yt3.ggpht.com/ytc/AIf8zZRz6EQ0MYAIcSOorxxKtVOPqzT9tyQosRcXltx2tCA=s88-c-k-c0x00ffffff-no-rj</v>
      </c>
      <c r="AL136" s="81">
        <v>0</v>
      </c>
      <c r="AM136" s="81">
        <v>0</v>
      </c>
      <c r="AN136" s="81">
        <v>3</v>
      </c>
      <c r="AO136" s="81" t="b">
        <v>0</v>
      </c>
      <c r="AP136" s="81">
        <v>0</v>
      </c>
      <c r="AQ136" s="81"/>
      <c r="AR136" s="81"/>
      <c r="AS136" s="81" t="s">
        <v>3378</v>
      </c>
      <c r="AT136" s="86" t="str">
        <f>HYPERLINK("https://www.youtube.com/channel/UCekBi9bmu4DHFOvcMbqaw7Q")</f>
        <v>https://www.youtube.com/channel/UCekBi9bmu4DHFOvcMbqaw7Q</v>
      </c>
      <c r="AU136" s="81" t="str">
        <f>REPLACE(INDEX(GroupVertices[Group],MATCH("~"&amp;Vertices[[#This Row],[Vertex]],GroupVertices[Vertex],0)),1,1,"")</f>
        <v>6</v>
      </c>
      <c r="AV136" s="49"/>
      <c r="AW136" s="49"/>
      <c r="AX136" s="49"/>
      <c r="AY136" s="49"/>
      <c r="AZ136" s="49"/>
      <c r="BA136" s="49"/>
      <c r="BB136" s="117" t="s">
        <v>3789</v>
      </c>
      <c r="BC136" s="117" t="s">
        <v>3789</v>
      </c>
      <c r="BD136" s="117" t="s">
        <v>4490</v>
      </c>
      <c r="BE136" s="117" t="s">
        <v>4490</v>
      </c>
      <c r="BF136" s="2"/>
      <c r="BG136" s="3"/>
      <c r="BH136" s="3"/>
      <c r="BI136" s="3"/>
      <c r="BJ136" s="3"/>
    </row>
    <row r="137" spans="1:62" ht="15">
      <c r="A137" s="66" t="s">
        <v>316</v>
      </c>
      <c r="B137" s="67"/>
      <c r="C137" s="67"/>
      <c r="D137" s="68">
        <v>50</v>
      </c>
      <c r="E137" s="70"/>
      <c r="F137" s="105" t="str">
        <f>HYPERLINK("https://yt3.ggpht.com/GVSjNkzjuYsniIfZQwcjpp8IGSqyiqWKzowdFIaw_XYcFSPF0hoi3zMtfWiq_reZRcn0NfOVCu8=s88-c-k-c0x00ffffff-no-rj")</f>
        <v>https://yt3.ggpht.com/GVSjNkzjuYsniIfZQwcjpp8IGSqyiqWKzowdFIaw_XYcFSPF0hoi3zMtfWiq_reZRcn0NfOVCu8=s88-c-k-c0x00ffffff-no-rj</v>
      </c>
      <c r="G137" s="67"/>
      <c r="H137" s="71" t="s">
        <v>2545</v>
      </c>
      <c r="I137" s="72"/>
      <c r="J137" s="72" t="s">
        <v>159</v>
      </c>
      <c r="K137" s="71" t="s">
        <v>2545</v>
      </c>
      <c r="L137" s="75">
        <v>1</v>
      </c>
      <c r="M137" s="76">
        <v>5613.7255859375</v>
      </c>
      <c r="N137" s="76">
        <v>1918.8194580078125</v>
      </c>
      <c r="O137" s="77"/>
      <c r="P137" s="78"/>
      <c r="Q137" s="78"/>
      <c r="R137" s="90"/>
      <c r="S137" s="49">
        <v>0</v>
      </c>
      <c r="T137" s="49">
        <v>1</v>
      </c>
      <c r="U137" s="50">
        <v>0</v>
      </c>
      <c r="V137" s="50">
        <v>0.255736</v>
      </c>
      <c r="W137" s="51"/>
      <c r="X137" s="51"/>
      <c r="Y137" s="51"/>
      <c r="Z137" s="50"/>
      <c r="AA137" s="73">
        <v>137</v>
      </c>
      <c r="AB137" s="73"/>
      <c r="AC137" s="74"/>
      <c r="AD137" s="81" t="s">
        <v>2545</v>
      </c>
      <c r="AE137" s="81"/>
      <c r="AF137" s="81"/>
      <c r="AG137" s="81"/>
      <c r="AH137" s="81"/>
      <c r="AI137" s="81" t="s">
        <v>3250</v>
      </c>
      <c r="AJ137" s="88">
        <v>42978.25236111111</v>
      </c>
      <c r="AK137" s="86" t="str">
        <f>HYPERLINK("https://yt3.ggpht.com/GVSjNkzjuYsniIfZQwcjpp8IGSqyiqWKzowdFIaw_XYcFSPF0hoi3zMtfWiq_reZRcn0NfOVCu8=s88-c-k-c0x00ffffff-no-rj")</f>
        <v>https://yt3.ggpht.com/GVSjNkzjuYsniIfZQwcjpp8IGSqyiqWKzowdFIaw_XYcFSPF0hoi3zMtfWiq_reZRcn0NfOVCu8=s88-c-k-c0x00ffffff-no-rj</v>
      </c>
      <c r="AL137" s="81">
        <v>2531</v>
      </c>
      <c r="AM137" s="81">
        <v>0</v>
      </c>
      <c r="AN137" s="81">
        <v>26</v>
      </c>
      <c r="AO137" s="81" t="b">
        <v>0</v>
      </c>
      <c r="AP137" s="81">
        <v>39</v>
      </c>
      <c r="AQ137" s="81"/>
      <c r="AR137" s="81"/>
      <c r="AS137" s="81" t="s">
        <v>3378</v>
      </c>
      <c r="AT137" s="86" t="str">
        <f>HYPERLINK("https://www.youtube.com/channel/UCG88vWMW0gxWBX6Nsx9lfCA")</f>
        <v>https://www.youtube.com/channel/UCG88vWMW0gxWBX6Nsx9lfCA</v>
      </c>
      <c r="AU137" s="81" t="str">
        <f>REPLACE(INDEX(GroupVertices[Group],MATCH("~"&amp;Vertices[[#This Row],[Vertex]],GroupVertices[Vertex],0)),1,1,"")</f>
        <v>6</v>
      </c>
      <c r="AV137" s="49"/>
      <c r="AW137" s="49"/>
      <c r="AX137" s="49"/>
      <c r="AY137" s="49"/>
      <c r="AZ137" s="49"/>
      <c r="BA137" s="49"/>
      <c r="BB137" s="117" t="s">
        <v>3790</v>
      </c>
      <c r="BC137" s="117" t="s">
        <v>3790</v>
      </c>
      <c r="BD137" s="117" t="s">
        <v>4491</v>
      </c>
      <c r="BE137" s="117" t="s">
        <v>4491</v>
      </c>
      <c r="BF137" s="2"/>
      <c r="BG137" s="3"/>
      <c r="BH137" s="3"/>
      <c r="BI137" s="3"/>
      <c r="BJ137" s="3"/>
    </row>
    <row r="138" spans="1:62" ht="15">
      <c r="A138" s="66" t="s">
        <v>317</v>
      </c>
      <c r="B138" s="67"/>
      <c r="C138" s="67"/>
      <c r="D138" s="68">
        <v>50</v>
      </c>
      <c r="E138" s="70"/>
      <c r="F138" s="105" t="str">
        <f>HYPERLINK("https://yt3.ggpht.com/ytc/AIf8zZSiWiKBgA8CPfJIWfDhiVMkjHQ7Vkto8-8si-eMx9seUBTA_JpNrBhvdnnxXZwy=s88-c-k-c0x00ffffff-no-rj")</f>
        <v>https://yt3.ggpht.com/ytc/AIf8zZSiWiKBgA8CPfJIWfDhiVMkjHQ7Vkto8-8si-eMx9seUBTA_JpNrBhvdnnxXZwy=s88-c-k-c0x00ffffff-no-rj</v>
      </c>
      <c r="G138" s="67"/>
      <c r="H138" s="71" t="s">
        <v>2546</v>
      </c>
      <c r="I138" s="72"/>
      <c r="J138" s="72" t="s">
        <v>159</v>
      </c>
      <c r="K138" s="71" t="s">
        <v>2546</v>
      </c>
      <c r="L138" s="75">
        <v>1</v>
      </c>
      <c r="M138" s="76">
        <v>5074.0849609375</v>
      </c>
      <c r="N138" s="76">
        <v>4835.375</v>
      </c>
      <c r="O138" s="77"/>
      <c r="P138" s="78"/>
      <c r="Q138" s="78"/>
      <c r="R138" s="90"/>
      <c r="S138" s="49">
        <v>0</v>
      </c>
      <c r="T138" s="49">
        <v>1</v>
      </c>
      <c r="U138" s="50">
        <v>0</v>
      </c>
      <c r="V138" s="50">
        <v>0.255736</v>
      </c>
      <c r="W138" s="51"/>
      <c r="X138" s="51"/>
      <c r="Y138" s="51"/>
      <c r="Z138" s="50"/>
      <c r="AA138" s="73">
        <v>138</v>
      </c>
      <c r="AB138" s="73"/>
      <c r="AC138" s="74"/>
      <c r="AD138" s="81" t="s">
        <v>2546</v>
      </c>
      <c r="AE138" s="81"/>
      <c r="AF138" s="81"/>
      <c r="AG138" s="81"/>
      <c r="AH138" s="81"/>
      <c r="AI138" s="81" t="s">
        <v>1783</v>
      </c>
      <c r="AJ138" s="88">
        <v>45240.80609953704</v>
      </c>
      <c r="AK138" s="86" t="str">
        <f>HYPERLINK("https://yt3.ggpht.com/ytc/AIf8zZSiWiKBgA8CPfJIWfDhiVMkjHQ7Vkto8-8si-eMx9seUBTA_JpNrBhvdnnxXZwy=s88-c-k-c0x00ffffff-no-rj")</f>
        <v>https://yt3.ggpht.com/ytc/AIf8zZSiWiKBgA8CPfJIWfDhiVMkjHQ7Vkto8-8si-eMx9seUBTA_JpNrBhvdnnxXZwy=s88-c-k-c0x00ffffff-no-rj</v>
      </c>
      <c r="AL138" s="81">
        <v>0</v>
      </c>
      <c r="AM138" s="81">
        <v>0</v>
      </c>
      <c r="AN138" s="81">
        <v>0</v>
      </c>
      <c r="AO138" s="81" t="b">
        <v>0</v>
      </c>
      <c r="AP138" s="81">
        <v>0</v>
      </c>
      <c r="AQ138" s="81"/>
      <c r="AR138" s="81"/>
      <c r="AS138" s="81" t="s">
        <v>3378</v>
      </c>
      <c r="AT138" s="86" t="str">
        <f>HYPERLINK("https://www.youtube.com/channel/UCz6lZj32USU3kpRSfU3mmNA")</f>
        <v>https://www.youtube.com/channel/UCz6lZj32USU3kpRSfU3mmNA</v>
      </c>
      <c r="AU138" s="81" t="str">
        <f>REPLACE(INDEX(GroupVertices[Group],MATCH("~"&amp;Vertices[[#This Row],[Vertex]],GroupVertices[Vertex],0)),1,1,"")</f>
        <v>6</v>
      </c>
      <c r="AV138" s="49"/>
      <c r="AW138" s="49"/>
      <c r="AX138" s="49"/>
      <c r="AY138" s="49"/>
      <c r="AZ138" s="49"/>
      <c r="BA138" s="49"/>
      <c r="BB138" s="117" t="s">
        <v>3791</v>
      </c>
      <c r="BC138" s="117" t="s">
        <v>3791</v>
      </c>
      <c r="BD138" s="117" t="s">
        <v>4492</v>
      </c>
      <c r="BE138" s="117" t="s">
        <v>4492</v>
      </c>
      <c r="BF138" s="2"/>
      <c r="BG138" s="3"/>
      <c r="BH138" s="3"/>
      <c r="BI138" s="3"/>
      <c r="BJ138" s="3"/>
    </row>
    <row r="139" spans="1:62" ht="15">
      <c r="A139" s="66" t="s">
        <v>318</v>
      </c>
      <c r="B139" s="67"/>
      <c r="C139" s="67"/>
      <c r="D139" s="68">
        <v>50</v>
      </c>
      <c r="E139" s="70"/>
      <c r="F139" s="105" t="str">
        <f>HYPERLINK("https://yt3.ggpht.com/8Oq95JKmBjkYQIZltKns6EFaxpzAogZz-lHY1_YXh9529TD0aeI7NoI50JtY-pKzXeQGeqZM1A=s88-c-k-c0x00ffffff-no-rj")</f>
        <v>https://yt3.ggpht.com/8Oq95JKmBjkYQIZltKns6EFaxpzAogZz-lHY1_YXh9529TD0aeI7NoI50JtY-pKzXeQGeqZM1A=s88-c-k-c0x00ffffff-no-rj</v>
      </c>
      <c r="G139" s="67"/>
      <c r="H139" s="71" t="s">
        <v>2547</v>
      </c>
      <c r="I139" s="72"/>
      <c r="J139" s="72" t="s">
        <v>159</v>
      </c>
      <c r="K139" s="71" t="s">
        <v>2547</v>
      </c>
      <c r="L139" s="75">
        <v>1</v>
      </c>
      <c r="M139" s="76">
        <v>5240.740234375</v>
      </c>
      <c r="N139" s="76">
        <v>3993.28173828125</v>
      </c>
      <c r="O139" s="77"/>
      <c r="P139" s="78"/>
      <c r="Q139" s="78"/>
      <c r="R139" s="90"/>
      <c r="S139" s="49">
        <v>0</v>
      </c>
      <c r="T139" s="49">
        <v>1</v>
      </c>
      <c r="U139" s="50">
        <v>0</v>
      </c>
      <c r="V139" s="50">
        <v>0.255736</v>
      </c>
      <c r="W139" s="51"/>
      <c r="X139" s="51"/>
      <c r="Y139" s="51"/>
      <c r="Z139" s="50"/>
      <c r="AA139" s="73">
        <v>139</v>
      </c>
      <c r="AB139" s="73"/>
      <c r="AC139" s="74"/>
      <c r="AD139" s="81" t="s">
        <v>2547</v>
      </c>
      <c r="AE139" s="81"/>
      <c r="AF139" s="81"/>
      <c r="AG139" s="81"/>
      <c r="AH139" s="81"/>
      <c r="AI139" s="81" t="s">
        <v>3251</v>
      </c>
      <c r="AJ139" s="88">
        <v>42737.173101851855</v>
      </c>
      <c r="AK139" s="86" t="str">
        <f>HYPERLINK("https://yt3.ggpht.com/8Oq95JKmBjkYQIZltKns6EFaxpzAogZz-lHY1_YXh9529TD0aeI7NoI50JtY-pKzXeQGeqZM1A=s88-c-k-c0x00ffffff-no-rj")</f>
        <v>https://yt3.ggpht.com/8Oq95JKmBjkYQIZltKns6EFaxpzAogZz-lHY1_YXh9529TD0aeI7NoI50JtY-pKzXeQGeqZM1A=s88-c-k-c0x00ffffff-no-rj</v>
      </c>
      <c r="AL139" s="81">
        <v>0</v>
      </c>
      <c r="AM139" s="81">
        <v>0</v>
      </c>
      <c r="AN139" s="81">
        <v>0</v>
      </c>
      <c r="AO139" s="81" t="b">
        <v>0</v>
      </c>
      <c r="AP139" s="81">
        <v>0</v>
      </c>
      <c r="AQ139" s="81"/>
      <c r="AR139" s="81"/>
      <c r="AS139" s="81" t="s">
        <v>3378</v>
      </c>
      <c r="AT139" s="86" t="str">
        <f>HYPERLINK("https://www.youtube.com/channel/UCGbp_Q09KrQZ_xw6w_CYTOQ")</f>
        <v>https://www.youtube.com/channel/UCGbp_Q09KrQZ_xw6w_CYTOQ</v>
      </c>
      <c r="AU139" s="81" t="str">
        <f>REPLACE(INDEX(GroupVertices[Group],MATCH("~"&amp;Vertices[[#This Row],[Vertex]],GroupVertices[Vertex],0)),1,1,"")</f>
        <v>6</v>
      </c>
      <c r="AV139" s="49"/>
      <c r="AW139" s="49"/>
      <c r="AX139" s="49"/>
      <c r="AY139" s="49"/>
      <c r="AZ139" s="49"/>
      <c r="BA139" s="49"/>
      <c r="BB139" s="117" t="s">
        <v>3792</v>
      </c>
      <c r="BC139" s="117" t="s">
        <v>3792</v>
      </c>
      <c r="BD139" s="117" t="s">
        <v>4493</v>
      </c>
      <c r="BE139" s="117" t="s">
        <v>4493</v>
      </c>
      <c r="BF139" s="2"/>
      <c r="BG139" s="3"/>
      <c r="BH139" s="3"/>
      <c r="BI139" s="3"/>
      <c r="BJ139" s="3"/>
    </row>
    <row r="140" spans="1:62" ht="15">
      <c r="A140" s="66" t="s">
        <v>319</v>
      </c>
      <c r="B140" s="67"/>
      <c r="C140" s="67"/>
      <c r="D140" s="68">
        <v>50</v>
      </c>
      <c r="E140" s="70"/>
      <c r="F140" s="105" t="str">
        <f>HYPERLINK("https://yt3.ggpht.com/ytc/AIf8zZSkG0yBFGF91jIdKQxJ7Z00l4He0HODG7_QFw=s88-c-k-c0x00ffffff-no-rj")</f>
        <v>https://yt3.ggpht.com/ytc/AIf8zZSkG0yBFGF91jIdKQxJ7Z00l4He0HODG7_QFw=s88-c-k-c0x00ffffff-no-rj</v>
      </c>
      <c r="G140" s="67"/>
      <c r="H140" s="71" t="s">
        <v>2548</v>
      </c>
      <c r="I140" s="72"/>
      <c r="J140" s="72" t="s">
        <v>159</v>
      </c>
      <c r="K140" s="71" t="s">
        <v>2548</v>
      </c>
      <c r="L140" s="75">
        <v>1</v>
      </c>
      <c r="M140" s="76">
        <v>5118.85595703125</v>
      </c>
      <c r="N140" s="76">
        <v>3332.960205078125</v>
      </c>
      <c r="O140" s="77"/>
      <c r="P140" s="78"/>
      <c r="Q140" s="78"/>
      <c r="R140" s="90"/>
      <c r="S140" s="49">
        <v>0</v>
      </c>
      <c r="T140" s="49">
        <v>1</v>
      </c>
      <c r="U140" s="50">
        <v>0</v>
      </c>
      <c r="V140" s="50">
        <v>0.255736</v>
      </c>
      <c r="W140" s="51"/>
      <c r="X140" s="51"/>
      <c r="Y140" s="51"/>
      <c r="Z140" s="50"/>
      <c r="AA140" s="73">
        <v>140</v>
      </c>
      <c r="AB140" s="73"/>
      <c r="AC140" s="74"/>
      <c r="AD140" s="81" t="s">
        <v>2548</v>
      </c>
      <c r="AE140" s="81"/>
      <c r="AF140" s="81"/>
      <c r="AG140" s="81"/>
      <c r="AH140" s="81"/>
      <c r="AI140" s="81" t="s">
        <v>1785</v>
      </c>
      <c r="AJ140" s="88">
        <v>43279.424097222225</v>
      </c>
      <c r="AK140" s="86" t="str">
        <f>HYPERLINK("https://yt3.ggpht.com/ytc/AIf8zZSkG0yBFGF91jIdKQxJ7Z00l4He0HODG7_QFw=s88-c-k-c0x00ffffff-no-rj")</f>
        <v>https://yt3.ggpht.com/ytc/AIf8zZSkG0yBFGF91jIdKQxJ7Z00l4He0HODG7_QFw=s88-c-k-c0x00ffffff-no-rj</v>
      </c>
      <c r="AL140" s="81">
        <v>0</v>
      </c>
      <c r="AM140" s="81">
        <v>0</v>
      </c>
      <c r="AN140" s="81">
        <v>0</v>
      </c>
      <c r="AO140" s="81" t="b">
        <v>0</v>
      </c>
      <c r="AP140" s="81">
        <v>0</v>
      </c>
      <c r="AQ140" s="81"/>
      <c r="AR140" s="81"/>
      <c r="AS140" s="81" t="s">
        <v>3378</v>
      </c>
      <c r="AT140" s="86" t="str">
        <f>HYPERLINK("https://www.youtube.com/channel/UCQpNWhsySfEu--0d0iiwKRg")</f>
        <v>https://www.youtube.com/channel/UCQpNWhsySfEu--0d0iiwKRg</v>
      </c>
      <c r="AU140" s="81" t="str">
        <f>REPLACE(INDEX(GroupVertices[Group],MATCH("~"&amp;Vertices[[#This Row],[Vertex]],GroupVertices[Vertex],0)),1,1,"")</f>
        <v>6</v>
      </c>
      <c r="AV140" s="49" t="s">
        <v>3669</v>
      </c>
      <c r="AW140" s="49" t="s">
        <v>3675</v>
      </c>
      <c r="AX140" s="49" t="s">
        <v>2414</v>
      </c>
      <c r="AY140" s="49" t="s">
        <v>2414</v>
      </c>
      <c r="AZ140" s="49"/>
      <c r="BA140" s="49"/>
      <c r="BB140" s="117" t="s">
        <v>3793</v>
      </c>
      <c r="BC140" s="117" t="s">
        <v>3793</v>
      </c>
      <c r="BD140" s="117" t="s">
        <v>4494</v>
      </c>
      <c r="BE140" s="117" t="s">
        <v>4494</v>
      </c>
      <c r="BF140" s="2"/>
      <c r="BG140" s="3"/>
      <c r="BH140" s="3"/>
      <c r="BI140" s="3"/>
      <c r="BJ140" s="3"/>
    </row>
    <row r="141" spans="1:62" ht="15">
      <c r="A141" s="66" t="s">
        <v>320</v>
      </c>
      <c r="B141" s="67"/>
      <c r="C141" s="67"/>
      <c r="D141" s="68">
        <v>50</v>
      </c>
      <c r="E141" s="70"/>
      <c r="F141" s="105" t="str">
        <f>HYPERLINK("https://yt3.ggpht.com/ytc/AIf8zZRMCA8MG0CPHixKf-kxTRiK93_Pc_qSYPWNRQ=s88-c-k-c0x00ffffff-no-rj")</f>
        <v>https://yt3.ggpht.com/ytc/AIf8zZRMCA8MG0CPHixKf-kxTRiK93_Pc_qSYPWNRQ=s88-c-k-c0x00ffffff-no-rj</v>
      </c>
      <c r="G141" s="67"/>
      <c r="H141" s="71" t="s">
        <v>2549</v>
      </c>
      <c r="I141" s="72"/>
      <c r="J141" s="72" t="s">
        <v>159</v>
      </c>
      <c r="K141" s="71" t="s">
        <v>2549</v>
      </c>
      <c r="L141" s="75">
        <v>1</v>
      </c>
      <c r="M141" s="76">
        <v>4096.5419921875</v>
      </c>
      <c r="N141" s="76">
        <v>4001.89453125</v>
      </c>
      <c r="O141" s="77"/>
      <c r="P141" s="78"/>
      <c r="Q141" s="78"/>
      <c r="R141" s="90"/>
      <c r="S141" s="49">
        <v>0</v>
      </c>
      <c r="T141" s="49">
        <v>1</v>
      </c>
      <c r="U141" s="50">
        <v>0</v>
      </c>
      <c r="V141" s="50">
        <v>0.255736</v>
      </c>
      <c r="W141" s="51"/>
      <c r="X141" s="51"/>
      <c r="Y141" s="51"/>
      <c r="Z141" s="50"/>
      <c r="AA141" s="73">
        <v>141</v>
      </c>
      <c r="AB141" s="73"/>
      <c r="AC141" s="74"/>
      <c r="AD141" s="81" t="s">
        <v>2549</v>
      </c>
      <c r="AE141" s="81"/>
      <c r="AF141" s="81"/>
      <c r="AG141" s="81"/>
      <c r="AH141" s="81"/>
      <c r="AI141" s="81" t="s">
        <v>1786</v>
      </c>
      <c r="AJ141" s="88">
        <v>39902.453518518516</v>
      </c>
      <c r="AK141" s="86" t="str">
        <f>HYPERLINK("https://yt3.ggpht.com/ytc/AIf8zZRMCA8MG0CPHixKf-kxTRiK93_Pc_qSYPWNRQ=s88-c-k-c0x00ffffff-no-rj")</f>
        <v>https://yt3.ggpht.com/ytc/AIf8zZRMCA8MG0CPHixKf-kxTRiK93_Pc_qSYPWNRQ=s88-c-k-c0x00ffffff-no-rj</v>
      </c>
      <c r="AL141" s="81">
        <v>7669</v>
      </c>
      <c r="AM141" s="81">
        <v>0</v>
      </c>
      <c r="AN141" s="81">
        <v>15</v>
      </c>
      <c r="AO141" s="81" t="b">
        <v>0</v>
      </c>
      <c r="AP141" s="81">
        <v>22</v>
      </c>
      <c r="AQ141" s="81"/>
      <c r="AR141" s="81"/>
      <c r="AS141" s="81" t="s">
        <v>3378</v>
      </c>
      <c r="AT141" s="86" t="str">
        <f>HYPERLINK("https://www.youtube.com/channel/UCeBIvmS9wNuO_WyPZVKq0oA")</f>
        <v>https://www.youtube.com/channel/UCeBIvmS9wNuO_WyPZVKq0oA</v>
      </c>
      <c r="AU141" s="81" t="str">
        <f>REPLACE(INDEX(GroupVertices[Group],MATCH("~"&amp;Vertices[[#This Row],[Vertex]],GroupVertices[Vertex],0)),1,1,"")</f>
        <v>6</v>
      </c>
      <c r="AV141" s="49"/>
      <c r="AW141" s="49"/>
      <c r="AX141" s="49"/>
      <c r="AY141" s="49"/>
      <c r="AZ141" s="49"/>
      <c r="BA141" s="49"/>
      <c r="BB141" s="117" t="s">
        <v>3794</v>
      </c>
      <c r="BC141" s="117" t="s">
        <v>3794</v>
      </c>
      <c r="BD141" s="117" t="s">
        <v>4495</v>
      </c>
      <c r="BE141" s="117" t="s">
        <v>4495</v>
      </c>
      <c r="BF141" s="2"/>
      <c r="BG141" s="3"/>
      <c r="BH141" s="3"/>
      <c r="BI141" s="3"/>
      <c r="BJ141" s="3"/>
    </row>
    <row r="142" spans="1:62" ht="15">
      <c r="A142" s="66" t="s">
        <v>321</v>
      </c>
      <c r="B142" s="67"/>
      <c r="C142" s="67"/>
      <c r="D142" s="68">
        <v>50</v>
      </c>
      <c r="E142" s="70"/>
      <c r="F142" s="105" t="str">
        <f>HYPERLINK("https://yt3.ggpht.com/Z6q90lfS7RHO34JTTkSyqzeN87-3XwxCYxZ-yQdBBuHtRFhD2FZgWAHaaCsfLYGZHviPnCXk=s88-c-k-c0x00ffffff-no-rj")</f>
        <v>https://yt3.ggpht.com/Z6q90lfS7RHO34JTTkSyqzeN87-3XwxCYxZ-yQdBBuHtRFhD2FZgWAHaaCsfLYGZHviPnCXk=s88-c-k-c0x00ffffff-no-rj</v>
      </c>
      <c r="G142" s="67"/>
      <c r="H142" s="71" t="s">
        <v>2550</v>
      </c>
      <c r="I142" s="72"/>
      <c r="J142" s="72" t="s">
        <v>159</v>
      </c>
      <c r="K142" s="71" t="s">
        <v>2550</v>
      </c>
      <c r="L142" s="75">
        <v>1</v>
      </c>
      <c r="M142" s="76">
        <v>4478.02294921875</v>
      </c>
      <c r="N142" s="76">
        <v>4742.15185546875</v>
      </c>
      <c r="O142" s="77"/>
      <c r="P142" s="78"/>
      <c r="Q142" s="78"/>
      <c r="R142" s="90"/>
      <c r="S142" s="49">
        <v>0</v>
      </c>
      <c r="T142" s="49">
        <v>1</v>
      </c>
      <c r="U142" s="50">
        <v>0</v>
      </c>
      <c r="V142" s="50">
        <v>0.255736</v>
      </c>
      <c r="W142" s="51"/>
      <c r="X142" s="51"/>
      <c r="Y142" s="51"/>
      <c r="Z142" s="50"/>
      <c r="AA142" s="73">
        <v>142</v>
      </c>
      <c r="AB142" s="73"/>
      <c r="AC142" s="74"/>
      <c r="AD142" s="81" t="s">
        <v>2550</v>
      </c>
      <c r="AE142" s="81" t="s">
        <v>3149</v>
      </c>
      <c r="AF142" s="81"/>
      <c r="AG142" s="81"/>
      <c r="AH142" s="81"/>
      <c r="AI142" s="81" t="s">
        <v>1787</v>
      </c>
      <c r="AJ142" s="88">
        <v>42668.897210648145</v>
      </c>
      <c r="AK142" s="86" t="str">
        <f>HYPERLINK("https://yt3.ggpht.com/Z6q90lfS7RHO34JTTkSyqzeN87-3XwxCYxZ-yQdBBuHtRFhD2FZgWAHaaCsfLYGZHviPnCXk=s88-c-k-c0x00ffffff-no-rj")</f>
        <v>https://yt3.ggpht.com/Z6q90lfS7RHO34JTTkSyqzeN87-3XwxCYxZ-yQdBBuHtRFhD2FZgWAHaaCsfLYGZHviPnCXk=s88-c-k-c0x00ffffff-no-rj</v>
      </c>
      <c r="AL142" s="81">
        <v>5286</v>
      </c>
      <c r="AM142" s="81">
        <v>0</v>
      </c>
      <c r="AN142" s="81">
        <v>73</v>
      </c>
      <c r="AO142" s="81" t="b">
        <v>0</v>
      </c>
      <c r="AP142" s="81">
        <v>11</v>
      </c>
      <c r="AQ142" s="81"/>
      <c r="AR142" s="81"/>
      <c r="AS142" s="81" t="s">
        <v>3378</v>
      </c>
      <c r="AT142" s="86" t="str">
        <f>HYPERLINK("https://www.youtube.com/channel/UCodmlPiSGxi4axCUbFpAIig")</f>
        <v>https://www.youtube.com/channel/UCodmlPiSGxi4axCUbFpAIig</v>
      </c>
      <c r="AU142" s="81" t="str">
        <f>REPLACE(INDEX(GroupVertices[Group],MATCH("~"&amp;Vertices[[#This Row],[Vertex]],GroupVertices[Vertex],0)),1,1,"")</f>
        <v>6</v>
      </c>
      <c r="AV142" s="49"/>
      <c r="AW142" s="49"/>
      <c r="AX142" s="49"/>
      <c r="AY142" s="49"/>
      <c r="AZ142" s="49"/>
      <c r="BA142" s="49"/>
      <c r="BB142" s="117" t="s">
        <v>3795</v>
      </c>
      <c r="BC142" s="117" t="s">
        <v>3795</v>
      </c>
      <c r="BD142" s="117" t="s">
        <v>4496</v>
      </c>
      <c r="BE142" s="117" t="s">
        <v>4496</v>
      </c>
      <c r="BF142" s="2"/>
      <c r="BG142" s="3"/>
      <c r="BH142" s="3"/>
      <c r="BI142" s="3"/>
      <c r="BJ142" s="3"/>
    </row>
    <row r="143" spans="1:62" ht="15">
      <c r="A143" s="66" t="s">
        <v>322</v>
      </c>
      <c r="B143" s="67"/>
      <c r="C143" s="67"/>
      <c r="D143" s="68">
        <v>50</v>
      </c>
      <c r="E143" s="70"/>
      <c r="F143" s="105" t="str">
        <f>HYPERLINK("https://yt3.ggpht.com/ytc/AIf8zZT5Nq6aMqSoSULn76YuvszJxCKDxg20s4tm6g=s88-c-k-c0x00ffffff-no-rj")</f>
        <v>https://yt3.ggpht.com/ytc/AIf8zZT5Nq6aMqSoSULn76YuvszJxCKDxg20s4tm6g=s88-c-k-c0x00ffffff-no-rj</v>
      </c>
      <c r="G143" s="67"/>
      <c r="H143" s="71" t="s">
        <v>2551</v>
      </c>
      <c r="I143" s="72"/>
      <c r="J143" s="72" t="s">
        <v>159</v>
      </c>
      <c r="K143" s="71" t="s">
        <v>2551</v>
      </c>
      <c r="L143" s="75">
        <v>1</v>
      </c>
      <c r="M143" s="76">
        <v>5804.11181640625</v>
      </c>
      <c r="N143" s="76">
        <v>4360.24755859375</v>
      </c>
      <c r="O143" s="77"/>
      <c r="P143" s="78"/>
      <c r="Q143" s="78"/>
      <c r="R143" s="90"/>
      <c r="S143" s="49">
        <v>0</v>
      </c>
      <c r="T143" s="49">
        <v>1</v>
      </c>
      <c r="U143" s="50">
        <v>0</v>
      </c>
      <c r="V143" s="50">
        <v>0.255736</v>
      </c>
      <c r="W143" s="51"/>
      <c r="X143" s="51"/>
      <c r="Y143" s="51"/>
      <c r="Z143" s="50"/>
      <c r="AA143" s="73">
        <v>143</v>
      </c>
      <c r="AB143" s="73"/>
      <c r="AC143" s="74"/>
      <c r="AD143" s="81" t="s">
        <v>2551</v>
      </c>
      <c r="AE143" s="81"/>
      <c r="AF143" s="81"/>
      <c r="AG143" s="81"/>
      <c r="AH143" s="81"/>
      <c r="AI143" s="81" t="s">
        <v>1788</v>
      </c>
      <c r="AJ143" s="88">
        <v>43243.98719907407</v>
      </c>
      <c r="AK143" s="86" t="str">
        <f>HYPERLINK("https://yt3.ggpht.com/ytc/AIf8zZT5Nq6aMqSoSULn76YuvszJxCKDxg20s4tm6g=s88-c-k-c0x00ffffff-no-rj")</f>
        <v>https://yt3.ggpht.com/ytc/AIf8zZT5Nq6aMqSoSULn76YuvszJxCKDxg20s4tm6g=s88-c-k-c0x00ffffff-no-rj</v>
      </c>
      <c r="AL143" s="81">
        <v>0</v>
      </c>
      <c r="AM143" s="81">
        <v>0</v>
      </c>
      <c r="AN143" s="81">
        <v>2</v>
      </c>
      <c r="AO143" s="81" t="b">
        <v>0</v>
      </c>
      <c r="AP143" s="81">
        <v>0</v>
      </c>
      <c r="AQ143" s="81"/>
      <c r="AR143" s="81"/>
      <c r="AS143" s="81" t="s">
        <v>3378</v>
      </c>
      <c r="AT143" s="86" t="str">
        <f>HYPERLINK("https://www.youtube.com/channel/UC-EUBGkEVHzrESkhR_NpWEQ")</f>
        <v>https://www.youtube.com/channel/UC-EUBGkEVHzrESkhR_NpWEQ</v>
      </c>
      <c r="AU143" s="81" t="str">
        <f>REPLACE(INDEX(GroupVertices[Group],MATCH("~"&amp;Vertices[[#This Row],[Vertex]],GroupVertices[Vertex],0)),1,1,"")</f>
        <v>6</v>
      </c>
      <c r="AV143" s="49"/>
      <c r="AW143" s="49"/>
      <c r="AX143" s="49"/>
      <c r="AY143" s="49"/>
      <c r="AZ143" s="49"/>
      <c r="BA143" s="49"/>
      <c r="BB143" s="117" t="s">
        <v>3796</v>
      </c>
      <c r="BC143" s="117" t="s">
        <v>3796</v>
      </c>
      <c r="BD143" s="117" t="s">
        <v>4497</v>
      </c>
      <c r="BE143" s="117" t="s">
        <v>4497</v>
      </c>
      <c r="BF143" s="2"/>
      <c r="BG143" s="3"/>
      <c r="BH143" s="3"/>
      <c r="BI143" s="3"/>
      <c r="BJ143" s="3"/>
    </row>
    <row r="144" spans="1:62" ht="15">
      <c r="A144" s="66" t="s">
        <v>323</v>
      </c>
      <c r="B144" s="67"/>
      <c r="C144" s="67"/>
      <c r="D144" s="68">
        <v>50</v>
      </c>
      <c r="E144" s="70"/>
      <c r="F144" s="105" t="str">
        <f>HYPERLINK("https://yt3.ggpht.com/ytc/AIf8zZQBfRp2XuDl_DS80jfP_8hnQkgR3ySgoqzXhB9V=s88-c-k-c0x00ffffff-no-rj")</f>
        <v>https://yt3.ggpht.com/ytc/AIf8zZQBfRp2XuDl_DS80jfP_8hnQkgR3ySgoqzXhB9V=s88-c-k-c0x00ffffff-no-rj</v>
      </c>
      <c r="G144" s="67"/>
      <c r="H144" s="71" t="s">
        <v>2552</v>
      </c>
      <c r="I144" s="72"/>
      <c r="J144" s="72" t="s">
        <v>159</v>
      </c>
      <c r="K144" s="71" t="s">
        <v>2552</v>
      </c>
      <c r="L144" s="75">
        <v>1</v>
      </c>
      <c r="M144" s="76">
        <v>4012.564453125</v>
      </c>
      <c r="N144" s="76">
        <v>4345.22998046875</v>
      </c>
      <c r="O144" s="77"/>
      <c r="P144" s="78"/>
      <c r="Q144" s="78"/>
      <c r="R144" s="90"/>
      <c r="S144" s="49">
        <v>0</v>
      </c>
      <c r="T144" s="49">
        <v>1</v>
      </c>
      <c r="U144" s="50">
        <v>0</v>
      </c>
      <c r="V144" s="50">
        <v>0.255736</v>
      </c>
      <c r="W144" s="51"/>
      <c r="X144" s="51"/>
      <c r="Y144" s="51"/>
      <c r="Z144" s="50"/>
      <c r="AA144" s="73">
        <v>144</v>
      </c>
      <c r="AB144" s="73"/>
      <c r="AC144" s="74"/>
      <c r="AD144" s="81" t="s">
        <v>2552</v>
      </c>
      <c r="AE144" s="81"/>
      <c r="AF144" s="81"/>
      <c r="AG144" s="81"/>
      <c r="AH144" s="81"/>
      <c r="AI144" s="81" t="s">
        <v>1789</v>
      </c>
      <c r="AJ144" s="88">
        <v>39261.295648148145</v>
      </c>
      <c r="AK144" s="86" t="str">
        <f>HYPERLINK("https://yt3.ggpht.com/ytc/AIf8zZQBfRp2XuDl_DS80jfP_8hnQkgR3ySgoqzXhB9V=s88-c-k-c0x00ffffff-no-rj")</f>
        <v>https://yt3.ggpht.com/ytc/AIf8zZQBfRp2XuDl_DS80jfP_8hnQkgR3ySgoqzXhB9V=s88-c-k-c0x00ffffff-no-rj</v>
      </c>
      <c r="AL144" s="81">
        <v>6156</v>
      </c>
      <c r="AM144" s="81">
        <v>0</v>
      </c>
      <c r="AN144" s="81">
        <v>103</v>
      </c>
      <c r="AO144" s="81" t="b">
        <v>0</v>
      </c>
      <c r="AP144" s="81">
        <v>15</v>
      </c>
      <c r="AQ144" s="81"/>
      <c r="AR144" s="81"/>
      <c r="AS144" s="81" t="s">
        <v>3378</v>
      </c>
      <c r="AT144" s="86" t="str">
        <f>HYPERLINK("https://www.youtube.com/channel/UC7E3gjLovfA9YqhdhC2HVEw")</f>
        <v>https://www.youtube.com/channel/UC7E3gjLovfA9YqhdhC2HVEw</v>
      </c>
      <c r="AU144" s="81" t="str">
        <f>REPLACE(INDEX(GroupVertices[Group],MATCH("~"&amp;Vertices[[#This Row],[Vertex]],GroupVertices[Vertex],0)),1,1,"")</f>
        <v>6</v>
      </c>
      <c r="AV144" s="49"/>
      <c r="AW144" s="49"/>
      <c r="AX144" s="49"/>
      <c r="AY144" s="49"/>
      <c r="AZ144" s="49"/>
      <c r="BA144" s="49"/>
      <c r="BB144" s="117" t="s">
        <v>3797</v>
      </c>
      <c r="BC144" s="117" t="s">
        <v>3797</v>
      </c>
      <c r="BD144" s="117" t="s">
        <v>4498</v>
      </c>
      <c r="BE144" s="117" t="s">
        <v>4498</v>
      </c>
      <c r="BF144" s="2"/>
      <c r="BG144" s="3"/>
      <c r="BH144" s="3"/>
      <c r="BI144" s="3"/>
      <c r="BJ144" s="3"/>
    </row>
    <row r="145" spans="1:62" ht="15">
      <c r="A145" s="66" t="s">
        <v>324</v>
      </c>
      <c r="B145" s="67"/>
      <c r="C145" s="67"/>
      <c r="D145" s="68">
        <v>50</v>
      </c>
      <c r="E145" s="70"/>
      <c r="F145" s="105" t="str">
        <f>HYPERLINK("https://yt3.ggpht.com/ytc/AIf8zZTOBgoTHzllSKiES1T0guDCOOVzSOixLHK7ZQ=s88-c-k-c0x00ffffff-no-rj")</f>
        <v>https://yt3.ggpht.com/ytc/AIf8zZTOBgoTHzllSKiES1T0guDCOOVzSOixLHK7ZQ=s88-c-k-c0x00ffffff-no-rj</v>
      </c>
      <c r="G145" s="67"/>
      <c r="H145" s="71" t="s">
        <v>2553</v>
      </c>
      <c r="I145" s="72"/>
      <c r="J145" s="72" t="s">
        <v>159</v>
      </c>
      <c r="K145" s="71" t="s">
        <v>2553</v>
      </c>
      <c r="L145" s="75">
        <v>1</v>
      </c>
      <c r="M145" s="76">
        <v>4220.8037109375</v>
      </c>
      <c r="N145" s="76">
        <v>4832.03564453125</v>
      </c>
      <c r="O145" s="77"/>
      <c r="P145" s="78"/>
      <c r="Q145" s="78"/>
      <c r="R145" s="90"/>
      <c r="S145" s="49">
        <v>0</v>
      </c>
      <c r="T145" s="49">
        <v>1</v>
      </c>
      <c r="U145" s="50">
        <v>0</v>
      </c>
      <c r="V145" s="50">
        <v>0.255736</v>
      </c>
      <c r="W145" s="51"/>
      <c r="X145" s="51"/>
      <c r="Y145" s="51"/>
      <c r="Z145" s="50"/>
      <c r="AA145" s="73">
        <v>145</v>
      </c>
      <c r="AB145" s="73"/>
      <c r="AC145" s="74"/>
      <c r="AD145" s="81" t="s">
        <v>2553</v>
      </c>
      <c r="AE145" s="81"/>
      <c r="AF145" s="81"/>
      <c r="AG145" s="81"/>
      <c r="AH145" s="81"/>
      <c r="AI145" s="81" t="s">
        <v>1790</v>
      </c>
      <c r="AJ145" s="88">
        <v>40948.146516203706</v>
      </c>
      <c r="AK145" s="86" t="str">
        <f>HYPERLINK("https://yt3.ggpht.com/ytc/AIf8zZTOBgoTHzllSKiES1T0guDCOOVzSOixLHK7ZQ=s88-c-k-c0x00ffffff-no-rj")</f>
        <v>https://yt3.ggpht.com/ytc/AIf8zZTOBgoTHzllSKiES1T0guDCOOVzSOixLHK7ZQ=s88-c-k-c0x00ffffff-no-rj</v>
      </c>
      <c r="AL145" s="81">
        <v>146</v>
      </c>
      <c r="AM145" s="81">
        <v>0</v>
      </c>
      <c r="AN145" s="81">
        <v>0</v>
      </c>
      <c r="AO145" s="81" t="b">
        <v>0</v>
      </c>
      <c r="AP145" s="81">
        <v>3</v>
      </c>
      <c r="AQ145" s="81"/>
      <c r="AR145" s="81"/>
      <c r="AS145" s="81" t="s">
        <v>3378</v>
      </c>
      <c r="AT145" s="86" t="str">
        <f>HYPERLINK("https://www.youtube.com/channel/UCzW_fW32ONrKVidGIjVVmng")</f>
        <v>https://www.youtube.com/channel/UCzW_fW32ONrKVidGIjVVmng</v>
      </c>
      <c r="AU145" s="81" t="str">
        <f>REPLACE(INDEX(GroupVertices[Group],MATCH("~"&amp;Vertices[[#This Row],[Vertex]],GroupVertices[Vertex],0)),1,1,"")</f>
        <v>6</v>
      </c>
      <c r="AV145" s="49"/>
      <c r="AW145" s="49"/>
      <c r="AX145" s="49"/>
      <c r="AY145" s="49"/>
      <c r="AZ145" s="49"/>
      <c r="BA145" s="49"/>
      <c r="BB145" s="117" t="s">
        <v>3798</v>
      </c>
      <c r="BC145" s="117" t="s">
        <v>3798</v>
      </c>
      <c r="BD145" s="117" t="s">
        <v>4499</v>
      </c>
      <c r="BE145" s="117" t="s">
        <v>4499</v>
      </c>
      <c r="BF145" s="2"/>
      <c r="BG145" s="3"/>
      <c r="BH145" s="3"/>
      <c r="BI145" s="3"/>
      <c r="BJ145" s="3"/>
    </row>
    <row r="146" spans="1:62" ht="15">
      <c r="A146" s="66" t="s">
        <v>325</v>
      </c>
      <c r="B146" s="67"/>
      <c r="C146" s="67"/>
      <c r="D146" s="68">
        <v>50</v>
      </c>
      <c r="E146" s="70"/>
      <c r="F146" s="105" t="str">
        <f>HYPERLINK("https://yt3.ggpht.com/ytc/AIf8zZSVnNX5Gbb7877P7buPVXui0II797Nyqt8IckLn=s88-c-k-c0x00ffffff-no-rj")</f>
        <v>https://yt3.ggpht.com/ytc/AIf8zZSVnNX5Gbb7877P7buPVXui0II797Nyqt8IckLn=s88-c-k-c0x00ffffff-no-rj</v>
      </c>
      <c r="G146" s="67"/>
      <c r="H146" s="71" t="s">
        <v>2554</v>
      </c>
      <c r="I146" s="72"/>
      <c r="J146" s="72" t="s">
        <v>159</v>
      </c>
      <c r="K146" s="71" t="s">
        <v>2554</v>
      </c>
      <c r="L146" s="75">
        <v>1</v>
      </c>
      <c r="M146" s="76">
        <v>4595.69873046875</v>
      </c>
      <c r="N146" s="76">
        <v>5310.0771484375</v>
      </c>
      <c r="O146" s="77"/>
      <c r="P146" s="78"/>
      <c r="Q146" s="78"/>
      <c r="R146" s="90"/>
      <c r="S146" s="49">
        <v>0</v>
      </c>
      <c r="T146" s="49">
        <v>1</v>
      </c>
      <c r="U146" s="50">
        <v>0</v>
      </c>
      <c r="V146" s="50">
        <v>0.255736</v>
      </c>
      <c r="W146" s="51"/>
      <c r="X146" s="51"/>
      <c r="Y146" s="51"/>
      <c r="Z146" s="50"/>
      <c r="AA146" s="73">
        <v>146</v>
      </c>
      <c r="AB146" s="73"/>
      <c r="AC146" s="74"/>
      <c r="AD146" s="81" t="s">
        <v>2554</v>
      </c>
      <c r="AE146" s="81"/>
      <c r="AF146" s="81"/>
      <c r="AG146" s="81"/>
      <c r="AH146" s="81"/>
      <c r="AI146" s="81" t="s">
        <v>1791</v>
      </c>
      <c r="AJ146" s="88">
        <v>40852.22734953704</v>
      </c>
      <c r="AK146" s="86" t="str">
        <f>HYPERLINK("https://yt3.ggpht.com/ytc/AIf8zZSVnNX5Gbb7877P7buPVXui0II797Nyqt8IckLn=s88-c-k-c0x00ffffff-no-rj")</f>
        <v>https://yt3.ggpht.com/ytc/AIf8zZSVnNX5Gbb7877P7buPVXui0II797Nyqt8IckLn=s88-c-k-c0x00ffffff-no-rj</v>
      </c>
      <c r="AL146" s="81">
        <v>0</v>
      </c>
      <c r="AM146" s="81">
        <v>0</v>
      </c>
      <c r="AN146" s="81">
        <v>3</v>
      </c>
      <c r="AO146" s="81" t="b">
        <v>0</v>
      </c>
      <c r="AP146" s="81">
        <v>0</v>
      </c>
      <c r="AQ146" s="81"/>
      <c r="AR146" s="81"/>
      <c r="AS146" s="81" t="s">
        <v>3378</v>
      </c>
      <c r="AT146" s="86" t="str">
        <f>HYPERLINK("https://www.youtube.com/channel/UCjBx3LFsEGpCL5eHG55yTjg")</f>
        <v>https://www.youtube.com/channel/UCjBx3LFsEGpCL5eHG55yTjg</v>
      </c>
      <c r="AU146" s="81" t="str">
        <f>REPLACE(INDEX(GroupVertices[Group],MATCH("~"&amp;Vertices[[#This Row],[Vertex]],GroupVertices[Vertex],0)),1,1,"")</f>
        <v>6</v>
      </c>
      <c r="AV146" s="49"/>
      <c r="AW146" s="49"/>
      <c r="AX146" s="49"/>
      <c r="AY146" s="49"/>
      <c r="AZ146" s="49"/>
      <c r="BA146" s="49"/>
      <c r="BB146" s="117" t="s">
        <v>3799</v>
      </c>
      <c r="BC146" s="117" t="s">
        <v>3799</v>
      </c>
      <c r="BD146" s="117" t="s">
        <v>4500</v>
      </c>
      <c r="BE146" s="117" t="s">
        <v>4500</v>
      </c>
      <c r="BF146" s="2"/>
      <c r="BG146" s="3"/>
      <c r="BH146" s="3"/>
      <c r="BI146" s="3"/>
      <c r="BJ146" s="3"/>
    </row>
    <row r="147" spans="1:62" ht="15">
      <c r="A147" s="66" t="s">
        <v>326</v>
      </c>
      <c r="B147" s="67"/>
      <c r="C147" s="67"/>
      <c r="D147" s="68">
        <v>50</v>
      </c>
      <c r="E147" s="70"/>
      <c r="F147" s="105" t="str">
        <f>HYPERLINK("https://yt3.ggpht.com/ytc/AIf8zZT96gQaNkx7TZZmymaTq9mxM3cy0b9s3K3zjg=s88-c-k-c0x00ffffff-no-rj")</f>
        <v>https://yt3.ggpht.com/ytc/AIf8zZT96gQaNkx7TZZmymaTq9mxM3cy0b9s3K3zjg=s88-c-k-c0x00ffffff-no-rj</v>
      </c>
      <c r="G147" s="67"/>
      <c r="H147" s="71" t="s">
        <v>2555</v>
      </c>
      <c r="I147" s="72"/>
      <c r="J147" s="72" t="s">
        <v>159</v>
      </c>
      <c r="K147" s="71" t="s">
        <v>2555</v>
      </c>
      <c r="L147" s="75">
        <v>1</v>
      </c>
      <c r="M147" s="76">
        <v>5230.0986328125</v>
      </c>
      <c r="N147" s="76">
        <v>265.968505859375</v>
      </c>
      <c r="O147" s="77"/>
      <c r="P147" s="78"/>
      <c r="Q147" s="78"/>
      <c r="R147" s="90"/>
      <c r="S147" s="49">
        <v>0</v>
      </c>
      <c r="T147" s="49">
        <v>1</v>
      </c>
      <c r="U147" s="50">
        <v>0</v>
      </c>
      <c r="V147" s="50">
        <v>0.255736</v>
      </c>
      <c r="W147" s="51"/>
      <c r="X147" s="51"/>
      <c r="Y147" s="51"/>
      <c r="Z147" s="50"/>
      <c r="AA147" s="73">
        <v>147</v>
      </c>
      <c r="AB147" s="73"/>
      <c r="AC147" s="74"/>
      <c r="AD147" s="81" t="s">
        <v>2555</v>
      </c>
      <c r="AE147" s="81"/>
      <c r="AF147" s="81"/>
      <c r="AG147" s="81"/>
      <c r="AH147" s="81"/>
      <c r="AI147" s="81" t="s">
        <v>1792</v>
      </c>
      <c r="AJ147" s="88">
        <v>43825.448854166665</v>
      </c>
      <c r="AK147" s="86" t="str">
        <f>HYPERLINK("https://yt3.ggpht.com/ytc/AIf8zZT96gQaNkx7TZZmymaTq9mxM3cy0b9s3K3zjg=s88-c-k-c0x00ffffff-no-rj")</f>
        <v>https://yt3.ggpht.com/ytc/AIf8zZT96gQaNkx7TZZmymaTq9mxM3cy0b9s3K3zjg=s88-c-k-c0x00ffffff-no-rj</v>
      </c>
      <c r="AL147" s="81">
        <v>0</v>
      </c>
      <c r="AM147" s="81">
        <v>0</v>
      </c>
      <c r="AN147" s="81">
        <v>0</v>
      </c>
      <c r="AO147" s="81" t="b">
        <v>0</v>
      </c>
      <c r="AP147" s="81">
        <v>0</v>
      </c>
      <c r="AQ147" s="81"/>
      <c r="AR147" s="81"/>
      <c r="AS147" s="81" t="s">
        <v>3378</v>
      </c>
      <c r="AT147" s="86" t="str">
        <f>HYPERLINK("https://www.youtube.com/channel/UCSq8cxz-cAvMl0L56l6ocig")</f>
        <v>https://www.youtube.com/channel/UCSq8cxz-cAvMl0L56l6ocig</v>
      </c>
      <c r="AU147" s="81" t="str">
        <f>REPLACE(INDEX(GroupVertices[Group],MATCH("~"&amp;Vertices[[#This Row],[Vertex]],GroupVertices[Vertex],0)),1,1,"")</f>
        <v>6</v>
      </c>
      <c r="AV147" s="49"/>
      <c r="AW147" s="49"/>
      <c r="AX147" s="49"/>
      <c r="AY147" s="49"/>
      <c r="AZ147" s="49"/>
      <c r="BA147" s="49"/>
      <c r="BB147" s="117" t="s">
        <v>3800</v>
      </c>
      <c r="BC147" s="117" t="s">
        <v>3800</v>
      </c>
      <c r="BD147" s="117" t="s">
        <v>4501</v>
      </c>
      <c r="BE147" s="117" t="s">
        <v>4501</v>
      </c>
      <c r="BF147" s="2"/>
      <c r="BG147" s="3"/>
      <c r="BH147" s="3"/>
      <c r="BI147" s="3"/>
      <c r="BJ147" s="3"/>
    </row>
    <row r="148" spans="1:62" ht="15">
      <c r="A148" s="66" t="s">
        <v>327</v>
      </c>
      <c r="B148" s="67"/>
      <c r="C148" s="67"/>
      <c r="D148" s="68">
        <v>50</v>
      </c>
      <c r="E148" s="70"/>
      <c r="F148" s="105" t="str">
        <f>HYPERLINK("https://yt3.ggpht.com/ytc/AIf8zZSgtBGpvoVcMjGCMZObVsNWD5BHCRCYpESUqDNPDA=s88-c-k-c0x00ffffff-no-rj")</f>
        <v>https://yt3.ggpht.com/ytc/AIf8zZSgtBGpvoVcMjGCMZObVsNWD5BHCRCYpESUqDNPDA=s88-c-k-c0x00ffffff-no-rj</v>
      </c>
      <c r="G148" s="67"/>
      <c r="H148" s="71" t="s">
        <v>2556</v>
      </c>
      <c r="I148" s="72"/>
      <c r="J148" s="72" t="s">
        <v>159</v>
      </c>
      <c r="K148" s="71" t="s">
        <v>2556</v>
      </c>
      <c r="L148" s="75">
        <v>1</v>
      </c>
      <c r="M148" s="76">
        <v>5168.43310546875</v>
      </c>
      <c r="N148" s="76">
        <v>5509.39404296875</v>
      </c>
      <c r="O148" s="77"/>
      <c r="P148" s="78"/>
      <c r="Q148" s="78"/>
      <c r="R148" s="90"/>
      <c r="S148" s="49">
        <v>0</v>
      </c>
      <c r="T148" s="49">
        <v>1</v>
      </c>
      <c r="U148" s="50">
        <v>0</v>
      </c>
      <c r="V148" s="50">
        <v>0.255736</v>
      </c>
      <c r="W148" s="51"/>
      <c r="X148" s="51"/>
      <c r="Y148" s="51"/>
      <c r="Z148" s="50"/>
      <c r="AA148" s="73">
        <v>148</v>
      </c>
      <c r="AB148" s="73"/>
      <c r="AC148" s="74"/>
      <c r="AD148" s="81" t="s">
        <v>2556</v>
      </c>
      <c r="AE148" s="81"/>
      <c r="AF148" s="81"/>
      <c r="AG148" s="81"/>
      <c r="AH148" s="81"/>
      <c r="AI148" s="81" t="s">
        <v>1793</v>
      </c>
      <c r="AJ148" s="88">
        <v>41505.36609953704</v>
      </c>
      <c r="AK148" s="86" t="str">
        <f>HYPERLINK("https://yt3.ggpht.com/ytc/AIf8zZSgtBGpvoVcMjGCMZObVsNWD5BHCRCYpESUqDNPDA=s88-c-k-c0x00ffffff-no-rj")</f>
        <v>https://yt3.ggpht.com/ytc/AIf8zZSgtBGpvoVcMjGCMZObVsNWD5BHCRCYpESUqDNPDA=s88-c-k-c0x00ffffff-no-rj</v>
      </c>
      <c r="AL148" s="81">
        <v>0</v>
      </c>
      <c r="AM148" s="81">
        <v>0</v>
      </c>
      <c r="AN148" s="81">
        <v>23</v>
      </c>
      <c r="AO148" s="81" t="b">
        <v>0</v>
      </c>
      <c r="AP148" s="81">
        <v>0</v>
      </c>
      <c r="AQ148" s="81"/>
      <c r="AR148" s="81"/>
      <c r="AS148" s="81" t="s">
        <v>3378</v>
      </c>
      <c r="AT148" s="86" t="str">
        <f>HYPERLINK("https://www.youtube.com/channel/UCdDflivSl5HyNIB0JgvnTvA")</f>
        <v>https://www.youtube.com/channel/UCdDflivSl5HyNIB0JgvnTvA</v>
      </c>
      <c r="AU148" s="81" t="str">
        <f>REPLACE(INDEX(GroupVertices[Group],MATCH("~"&amp;Vertices[[#This Row],[Vertex]],GroupVertices[Vertex],0)),1,1,"")</f>
        <v>6</v>
      </c>
      <c r="AV148" s="49"/>
      <c r="AW148" s="49"/>
      <c r="AX148" s="49"/>
      <c r="AY148" s="49"/>
      <c r="AZ148" s="49"/>
      <c r="BA148" s="49"/>
      <c r="BB148" s="117" t="s">
        <v>3801</v>
      </c>
      <c r="BC148" s="117" t="s">
        <v>3801</v>
      </c>
      <c r="BD148" s="117" t="s">
        <v>4502</v>
      </c>
      <c r="BE148" s="117" t="s">
        <v>4502</v>
      </c>
      <c r="BF148" s="2"/>
      <c r="BG148" s="3"/>
      <c r="BH148" s="3"/>
      <c r="BI148" s="3"/>
      <c r="BJ148" s="3"/>
    </row>
    <row r="149" spans="1:62" ht="15">
      <c r="A149" s="66" t="s">
        <v>328</v>
      </c>
      <c r="B149" s="67"/>
      <c r="C149" s="67"/>
      <c r="D149" s="68">
        <v>50</v>
      </c>
      <c r="E149" s="70"/>
      <c r="F149" s="105" t="str">
        <f>HYPERLINK("https://yt3.ggpht.com/ytc/AIf8zZS3JORRglGfe6sGJHG0B8XPvgwEdXfyRuW1VV5lkw=s88-c-k-c0x00ffffff-no-rj")</f>
        <v>https://yt3.ggpht.com/ytc/AIf8zZS3JORRglGfe6sGJHG0B8XPvgwEdXfyRuW1VV5lkw=s88-c-k-c0x00ffffff-no-rj</v>
      </c>
      <c r="G149" s="67"/>
      <c r="H149" s="71" t="s">
        <v>2557</v>
      </c>
      <c r="I149" s="72"/>
      <c r="J149" s="72" t="s">
        <v>159</v>
      </c>
      <c r="K149" s="71" t="s">
        <v>2557</v>
      </c>
      <c r="L149" s="75">
        <v>1</v>
      </c>
      <c r="M149" s="76">
        <v>4099.3388671875</v>
      </c>
      <c r="N149" s="76">
        <v>3380.90869140625</v>
      </c>
      <c r="O149" s="77"/>
      <c r="P149" s="78"/>
      <c r="Q149" s="78"/>
      <c r="R149" s="90"/>
      <c r="S149" s="49">
        <v>0</v>
      </c>
      <c r="T149" s="49">
        <v>1</v>
      </c>
      <c r="U149" s="50">
        <v>0</v>
      </c>
      <c r="V149" s="50">
        <v>0.255736</v>
      </c>
      <c r="W149" s="51"/>
      <c r="X149" s="51"/>
      <c r="Y149" s="51"/>
      <c r="Z149" s="50"/>
      <c r="AA149" s="73">
        <v>149</v>
      </c>
      <c r="AB149" s="73"/>
      <c r="AC149" s="74"/>
      <c r="AD149" s="81" t="s">
        <v>2557</v>
      </c>
      <c r="AE149" s="81"/>
      <c r="AF149" s="81"/>
      <c r="AG149" s="81"/>
      <c r="AH149" s="81"/>
      <c r="AI149" s="81" t="s">
        <v>1794</v>
      </c>
      <c r="AJ149" s="88">
        <v>39062.889872685184</v>
      </c>
      <c r="AK149" s="86" t="str">
        <f>HYPERLINK("https://yt3.ggpht.com/ytc/AIf8zZS3JORRglGfe6sGJHG0B8XPvgwEdXfyRuW1VV5lkw=s88-c-k-c0x00ffffff-no-rj")</f>
        <v>https://yt3.ggpht.com/ytc/AIf8zZS3JORRglGfe6sGJHG0B8XPvgwEdXfyRuW1VV5lkw=s88-c-k-c0x00ffffff-no-rj</v>
      </c>
      <c r="AL149" s="81">
        <v>29318</v>
      </c>
      <c r="AM149" s="81">
        <v>0</v>
      </c>
      <c r="AN149" s="81">
        <v>7</v>
      </c>
      <c r="AO149" s="81" t="b">
        <v>0</v>
      </c>
      <c r="AP149" s="81">
        <v>82</v>
      </c>
      <c r="AQ149" s="81"/>
      <c r="AR149" s="81"/>
      <c r="AS149" s="81" t="s">
        <v>3378</v>
      </c>
      <c r="AT149" s="86" t="str">
        <f>HYPERLINK("https://www.youtube.com/channel/UCVV444BRcuK7ffYzVmsfHmw")</f>
        <v>https://www.youtube.com/channel/UCVV444BRcuK7ffYzVmsfHmw</v>
      </c>
      <c r="AU149" s="81" t="str">
        <f>REPLACE(INDEX(GroupVertices[Group],MATCH("~"&amp;Vertices[[#This Row],[Vertex]],GroupVertices[Vertex],0)),1,1,"")</f>
        <v>6</v>
      </c>
      <c r="AV149" s="49"/>
      <c r="AW149" s="49"/>
      <c r="AX149" s="49"/>
      <c r="AY149" s="49"/>
      <c r="AZ149" s="49"/>
      <c r="BA149" s="49"/>
      <c r="BB149" s="117" t="s">
        <v>3802</v>
      </c>
      <c r="BC149" s="117" t="s">
        <v>3802</v>
      </c>
      <c r="BD149" s="117" t="s">
        <v>4503</v>
      </c>
      <c r="BE149" s="117" t="s">
        <v>4503</v>
      </c>
      <c r="BF149" s="2"/>
      <c r="BG149" s="3"/>
      <c r="BH149" s="3"/>
      <c r="BI149" s="3"/>
      <c r="BJ149" s="3"/>
    </row>
    <row r="150" spans="1:62" ht="15">
      <c r="A150" s="66" t="s">
        <v>329</v>
      </c>
      <c r="B150" s="67"/>
      <c r="C150" s="67"/>
      <c r="D150" s="68">
        <v>50</v>
      </c>
      <c r="E150" s="70"/>
      <c r="F150" s="105" t="str">
        <f>HYPERLINK("https://yt3.ggpht.com/ytc/AIf8zZT1tUEYYf_vyaAx3cbBHBj9Dzmx2TqPbHQxJqZ_4qGwD9_WWm3IuHt5_VXIAqpC=s88-c-k-c0x00ffffff-no-rj")</f>
        <v>https://yt3.ggpht.com/ytc/AIf8zZT1tUEYYf_vyaAx3cbBHBj9Dzmx2TqPbHQxJqZ_4qGwD9_WWm3IuHt5_VXIAqpC=s88-c-k-c0x00ffffff-no-rj</v>
      </c>
      <c r="G150" s="67"/>
      <c r="H150" s="71" t="s">
        <v>2558</v>
      </c>
      <c r="I150" s="72"/>
      <c r="J150" s="72" t="s">
        <v>159</v>
      </c>
      <c r="K150" s="71" t="s">
        <v>2558</v>
      </c>
      <c r="L150" s="75">
        <v>1</v>
      </c>
      <c r="M150" s="76">
        <v>3886.9814453125</v>
      </c>
      <c r="N150" s="76">
        <v>2292.9453125</v>
      </c>
      <c r="O150" s="77"/>
      <c r="P150" s="78"/>
      <c r="Q150" s="78"/>
      <c r="R150" s="90"/>
      <c r="S150" s="49">
        <v>0</v>
      </c>
      <c r="T150" s="49">
        <v>1</v>
      </c>
      <c r="U150" s="50">
        <v>0</v>
      </c>
      <c r="V150" s="50">
        <v>0.255736</v>
      </c>
      <c r="W150" s="51"/>
      <c r="X150" s="51"/>
      <c r="Y150" s="51"/>
      <c r="Z150" s="50"/>
      <c r="AA150" s="73">
        <v>150</v>
      </c>
      <c r="AB150" s="73"/>
      <c r="AC150" s="74"/>
      <c r="AD150" s="81" t="s">
        <v>2558</v>
      </c>
      <c r="AE150" s="81"/>
      <c r="AF150" s="81"/>
      <c r="AG150" s="81"/>
      <c r="AH150" s="81"/>
      <c r="AI150" s="81" t="s">
        <v>1795</v>
      </c>
      <c r="AJ150" s="88">
        <v>45035.57469907407</v>
      </c>
      <c r="AK150" s="86" t="str">
        <f>HYPERLINK("https://yt3.ggpht.com/ytc/AIf8zZT1tUEYYf_vyaAx3cbBHBj9Dzmx2TqPbHQxJqZ_4qGwD9_WWm3IuHt5_VXIAqpC=s88-c-k-c0x00ffffff-no-rj")</f>
        <v>https://yt3.ggpht.com/ytc/AIf8zZT1tUEYYf_vyaAx3cbBHBj9Dzmx2TqPbHQxJqZ_4qGwD9_WWm3IuHt5_VXIAqpC=s88-c-k-c0x00ffffff-no-rj</v>
      </c>
      <c r="AL150" s="81">
        <v>0</v>
      </c>
      <c r="AM150" s="81">
        <v>0</v>
      </c>
      <c r="AN150" s="81">
        <v>0</v>
      </c>
      <c r="AO150" s="81" t="b">
        <v>0</v>
      </c>
      <c r="AP150" s="81">
        <v>0</v>
      </c>
      <c r="AQ150" s="81"/>
      <c r="AR150" s="81"/>
      <c r="AS150" s="81" t="s">
        <v>3378</v>
      </c>
      <c r="AT150" s="86" t="str">
        <f>HYPERLINK("https://www.youtube.com/channel/UC-oFOuA748PDXw0Mqg2jjew")</f>
        <v>https://www.youtube.com/channel/UC-oFOuA748PDXw0Mqg2jjew</v>
      </c>
      <c r="AU150" s="81" t="str">
        <f>REPLACE(INDEX(GroupVertices[Group],MATCH("~"&amp;Vertices[[#This Row],[Vertex]],GroupVertices[Vertex],0)),1,1,"")</f>
        <v>6</v>
      </c>
      <c r="AV150" s="49"/>
      <c r="AW150" s="49"/>
      <c r="AX150" s="49"/>
      <c r="AY150" s="49"/>
      <c r="AZ150" s="49"/>
      <c r="BA150" s="49"/>
      <c r="BB150" s="117" t="s">
        <v>3803</v>
      </c>
      <c r="BC150" s="117" t="s">
        <v>3803</v>
      </c>
      <c r="BD150" s="117" t="s">
        <v>4504</v>
      </c>
      <c r="BE150" s="117" t="s">
        <v>4504</v>
      </c>
      <c r="BF150" s="2"/>
      <c r="BG150" s="3"/>
      <c r="BH150" s="3"/>
      <c r="BI150" s="3"/>
      <c r="BJ150" s="3"/>
    </row>
    <row r="151" spans="1:62" ht="15">
      <c r="A151" s="66" t="s">
        <v>330</v>
      </c>
      <c r="B151" s="67"/>
      <c r="C151" s="67"/>
      <c r="D151" s="68">
        <v>50</v>
      </c>
      <c r="E151" s="70"/>
      <c r="F151" s="105" t="str">
        <f>HYPERLINK("https://yt3.ggpht.com/ytc/AIf8zZSLejdDKwtnnksYyamn8mODD2dLpan2TsyJGg=s88-c-k-c0x00ffffff-no-rj")</f>
        <v>https://yt3.ggpht.com/ytc/AIf8zZSLejdDKwtnnksYyamn8mODD2dLpan2TsyJGg=s88-c-k-c0x00ffffff-no-rj</v>
      </c>
      <c r="G151" s="67"/>
      <c r="H151" s="71" t="s">
        <v>2559</v>
      </c>
      <c r="I151" s="72"/>
      <c r="J151" s="72" t="s">
        <v>159</v>
      </c>
      <c r="K151" s="71" t="s">
        <v>2559</v>
      </c>
      <c r="L151" s="75">
        <v>1</v>
      </c>
      <c r="M151" s="76">
        <v>4303.24609375</v>
      </c>
      <c r="N151" s="76">
        <v>3761.431640625</v>
      </c>
      <c r="O151" s="77"/>
      <c r="P151" s="78"/>
      <c r="Q151" s="78"/>
      <c r="R151" s="90"/>
      <c r="S151" s="49">
        <v>0</v>
      </c>
      <c r="T151" s="49">
        <v>1</v>
      </c>
      <c r="U151" s="50">
        <v>0</v>
      </c>
      <c r="V151" s="50">
        <v>0.255736</v>
      </c>
      <c r="W151" s="51"/>
      <c r="X151" s="51"/>
      <c r="Y151" s="51"/>
      <c r="Z151" s="50"/>
      <c r="AA151" s="73">
        <v>151</v>
      </c>
      <c r="AB151" s="73"/>
      <c r="AC151" s="74"/>
      <c r="AD151" s="81" t="s">
        <v>2559</v>
      </c>
      <c r="AE151" s="81"/>
      <c r="AF151" s="81"/>
      <c r="AG151" s="81"/>
      <c r="AH151" s="81"/>
      <c r="AI151" s="81" t="s">
        <v>1796</v>
      </c>
      <c r="AJ151" s="88">
        <v>44017.1703587963</v>
      </c>
      <c r="AK151" s="86" t="str">
        <f>HYPERLINK("https://yt3.ggpht.com/ytc/AIf8zZSLejdDKwtnnksYyamn8mODD2dLpan2TsyJGg=s88-c-k-c0x00ffffff-no-rj")</f>
        <v>https://yt3.ggpht.com/ytc/AIf8zZSLejdDKwtnnksYyamn8mODD2dLpan2TsyJGg=s88-c-k-c0x00ffffff-no-rj</v>
      </c>
      <c r="AL151" s="81">
        <v>0</v>
      </c>
      <c r="AM151" s="81">
        <v>0</v>
      </c>
      <c r="AN151" s="81">
        <v>0</v>
      </c>
      <c r="AO151" s="81" t="b">
        <v>0</v>
      </c>
      <c r="AP151" s="81">
        <v>0</v>
      </c>
      <c r="AQ151" s="81"/>
      <c r="AR151" s="81"/>
      <c r="AS151" s="81" t="s">
        <v>3378</v>
      </c>
      <c r="AT151" s="86" t="str">
        <f>HYPERLINK("https://www.youtube.com/channel/UCJoAyMn5w628ZOLOBFagmjQ")</f>
        <v>https://www.youtube.com/channel/UCJoAyMn5w628ZOLOBFagmjQ</v>
      </c>
      <c r="AU151" s="81" t="str">
        <f>REPLACE(INDEX(GroupVertices[Group],MATCH("~"&amp;Vertices[[#This Row],[Vertex]],GroupVertices[Vertex],0)),1,1,"")</f>
        <v>6</v>
      </c>
      <c r="AV151" s="49"/>
      <c r="AW151" s="49"/>
      <c r="AX151" s="49"/>
      <c r="AY151" s="49"/>
      <c r="AZ151" s="49"/>
      <c r="BA151" s="49"/>
      <c r="BB151" s="117" t="s">
        <v>3804</v>
      </c>
      <c r="BC151" s="117" t="s">
        <v>3804</v>
      </c>
      <c r="BD151" s="117" t="s">
        <v>4505</v>
      </c>
      <c r="BE151" s="117" t="s">
        <v>4505</v>
      </c>
      <c r="BF151" s="2"/>
      <c r="BG151" s="3"/>
      <c r="BH151" s="3"/>
      <c r="BI151" s="3"/>
      <c r="BJ151" s="3"/>
    </row>
    <row r="152" spans="1:62" ht="15">
      <c r="A152" s="66" t="s">
        <v>331</v>
      </c>
      <c r="B152" s="67"/>
      <c r="C152" s="67"/>
      <c r="D152" s="68">
        <v>50</v>
      </c>
      <c r="E152" s="70"/>
      <c r="F152" s="105" t="str">
        <f>HYPERLINK("https://yt3.ggpht.com/ytc/AIf8zZRJPJwljXkUF9WmXy_tb_Ur1YLu4ocALhhydn3gVxMwvk7Sqq9fKfnzDp--ihCu=s88-c-k-c0x00ffffff-no-rj")</f>
        <v>https://yt3.ggpht.com/ytc/AIf8zZRJPJwljXkUF9WmXy_tb_Ur1YLu4ocALhhydn3gVxMwvk7Sqq9fKfnzDp--ihCu=s88-c-k-c0x00ffffff-no-rj</v>
      </c>
      <c r="G152" s="67"/>
      <c r="H152" s="71" t="s">
        <v>2560</v>
      </c>
      <c r="I152" s="72"/>
      <c r="J152" s="72" t="s">
        <v>159</v>
      </c>
      <c r="K152" s="71" t="s">
        <v>2560</v>
      </c>
      <c r="L152" s="75">
        <v>1</v>
      </c>
      <c r="M152" s="76">
        <v>5739.1337890625</v>
      </c>
      <c r="N152" s="76">
        <v>2645.548583984375</v>
      </c>
      <c r="O152" s="77"/>
      <c r="P152" s="78"/>
      <c r="Q152" s="78"/>
      <c r="R152" s="90"/>
      <c r="S152" s="49">
        <v>0</v>
      </c>
      <c r="T152" s="49">
        <v>1</v>
      </c>
      <c r="U152" s="50">
        <v>0</v>
      </c>
      <c r="V152" s="50">
        <v>0.255736</v>
      </c>
      <c r="W152" s="51"/>
      <c r="X152" s="51"/>
      <c r="Y152" s="51"/>
      <c r="Z152" s="50"/>
      <c r="AA152" s="73">
        <v>152</v>
      </c>
      <c r="AB152" s="73"/>
      <c r="AC152" s="74"/>
      <c r="AD152" s="81" t="s">
        <v>2560</v>
      </c>
      <c r="AE152" s="81"/>
      <c r="AF152" s="81"/>
      <c r="AG152" s="81"/>
      <c r="AH152" s="81"/>
      <c r="AI152" s="81" t="s">
        <v>3252</v>
      </c>
      <c r="AJ152" s="88">
        <v>45224.38974537037</v>
      </c>
      <c r="AK152" s="86" t="str">
        <f>HYPERLINK("https://yt3.ggpht.com/ytc/AIf8zZRJPJwljXkUF9WmXy_tb_Ur1YLu4ocALhhydn3gVxMwvk7Sqq9fKfnzDp--ihCu=s88-c-k-c0x00ffffff-no-rj")</f>
        <v>https://yt3.ggpht.com/ytc/AIf8zZRJPJwljXkUF9WmXy_tb_Ur1YLu4ocALhhydn3gVxMwvk7Sqq9fKfnzDp--ihCu=s88-c-k-c0x00ffffff-no-rj</v>
      </c>
      <c r="AL152" s="81">
        <v>0</v>
      </c>
      <c r="AM152" s="81">
        <v>0</v>
      </c>
      <c r="AN152" s="81">
        <v>1</v>
      </c>
      <c r="AO152" s="81" t="b">
        <v>0</v>
      </c>
      <c r="AP152" s="81">
        <v>0</v>
      </c>
      <c r="AQ152" s="81"/>
      <c r="AR152" s="81"/>
      <c r="AS152" s="81" t="s">
        <v>3378</v>
      </c>
      <c r="AT152" s="86" t="str">
        <f>HYPERLINK("https://www.youtube.com/channel/UC1U4q9cUYOG_IpMRdLgdNMw")</f>
        <v>https://www.youtube.com/channel/UC1U4q9cUYOG_IpMRdLgdNMw</v>
      </c>
      <c r="AU152" s="81" t="str">
        <f>REPLACE(INDEX(GroupVertices[Group],MATCH("~"&amp;Vertices[[#This Row],[Vertex]],GroupVertices[Vertex],0)),1,1,"")</f>
        <v>6</v>
      </c>
      <c r="AV152" s="49"/>
      <c r="AW152" s="49"/>
      <c r="AX152" s="49"/>
      <c r="AY152" s="49"/>
      <c r="AZ152" s="49"/>
      <c r="BA152" s="49"/>
      <c r="BB152" s="117" t="s">
        <v>3805</v>
      </c>
      <c r="BC152" s="117" t="s">
        <v>3805</v>
      </c>
      <c r="BD152" s="117" t="s">
        <v>4506</v>
      </c>
      <c r="BE152" s="117" t="s">
        <v>4506</v>
      </c>
      <c r="BF152" s="2"/>
      <c r="BG152" s="3"/>
      <c r="BH152" s="3"/>
      <c r="BI152" s="3"/>
      <c r="BJ152" s="3"/>
    </row>
    <row r="153" spans="1:62" ht="15">
      <c r="A153" s="66" t="s">
        <v>332</v>
      </c>
      <c r="B153" s="67"/>
      <c r="C153" s="67"/>
      <c r="D153" s="68">
        <v>50</v>
      </c>
      <c r="E153" s="70"/>
      <c r="F153" s="105" t="str">
        <f>HYPERLINK("https://yt3.ggpht.com/b4Dv_pDB76kDxTBLXb28ErGZ4kdtsKAxwMxP374PNcR3SONMgJCEAxpkARmlG6rgTzQvQuWZnLk=s88-c-k-c0x00ffffff-no-rj")</f>
        <v>https://yt3.ggpht.com/b4Dv_pDB76kDxTBLXb28ErGZ4kdtsKAxwMxP374PNcR3SONMgJCEAxpkARmlG6rgTzQvQuWZnLk=s88-c-k-c0x00ffffff-no-rj</v>
      </c>
      <c r="G153" s="67"/>
      <c r="H153" s="71" t="s">
        <v>2561</v>
      </c>
      <c r="I153" s="72"/>
      <c r="J153" s="72" t="s">
        <v>159</v>
      </c>
      <c r="K153" s="71" t="s">
        <v>2561</v>
      </c>
      <c r="L153" s="75">
        <v>1</v>
      </c>
      <c r="M153" s="76">
        <v>5579.01025390625</v>
      </c>
      <c r="N153" s="76">
        <v>5045.83837890625</v>
      </c>
      <c r="O153" s="77"/>
      <c r="P153" s="78"/>
      <c r="Q153" s="78"/>
      <c r="R153" s="90"/>
      <c r="S153" s="49">
        <v>0</v>
      </c>
      <c r="T153" s="49">
        <v>1</v>
      </c>
      <c r="U153" s="50">
        <v>0</v>
      </c>
      <c r="V153" s="50">
        <v>0.255736</v>
      </c>
      <c r="W153" s="51"/>
      <c r="X153" s="51"/>
      <c r="Y153" s="51"/>
      <c r="Z153" s="50"/>
      <c r="AA153" s="73">
        <v>153</v>
      </c>
      <c r="AB153" s="73"/>
      <c r="AC153" s="74"/>
      <c r="AD153" s="81" t="s">
        <v>2561</v>
      </c>
      <c r="AE153" s="81"/>
      <c r="AF153" s="81"/>
      <c r="AG153" s="81"/>
      <c r="AH153" s="81"/>
      <c r="AI153" s="81" t="s">
        <v>1798</v>
      </c>
      <c r="AJ153" s="88">
        <v>41223.05185185185</v>
      </c>
      <c r="AK153" s="86" t="str">
        <f>HYPERLINK("https://yt3.ggpht.com/b4Dv_pDB76kDxTBLXb28ErGZ4kdtsKAxwMxP374PNcR3SONMgJCEAxpkARmlG6rgTzQvQuWZnLk=s88-c-k-c0x00ffffff-no-rj")</f>
        <v>https://yt3.ggpht.com/b4Dv_pDB76kDxTBLXb28ErGZ4kdtsKAxwMxP374PNcR3SONMgJCEAxpkARmlG6rgTzQvQuWZnLk=s88-c-k-c0x00ffffff-no-rj</v>
      </c>
      <c r="AL153" s="81">
        <v>0</v>
      </c>
      <c r="AM153" s="81">
        <v>0</v>
      </c>
      <c r="AN153" s="81">
        <v>9</v>
      </c>
      <c r="AO153" s="81" t="b">
        <v>0</v>
      </c>
      <c r="AP153" s="81">
        <v>0</v>
      </c>
      <c r="AQ153" s="81"/>
      <c r="AR153" s="81"/>
      <c r="AS153" s="81" t="s">
        <v>3378</v>
      </c>
      <c r="AT153" s="86" t="str">
        <f>HYPERLINK("https://www.youtube.com/channel/UCUunGjDqU4X6FKTIzD_cnYw")</f>
        <v>https://www.youtube.com/channel/UCUunGjDqU4X6FKTIzD_cnYw</v>
      </c>
      <c r="AU153" s="81" t="str">
        <f>REPLACE(INDEX(GroupVertices[Group],MATCH("~"&amp;Vertices[[#This Row],[Vertex]],GroupVertices[Vertex],0)),1,1,"")</f>
        <v>6</v>
      </c>
      <c r="AV153" s="49"/>
      <c r="AW153" s="49"/>
      <c r="AX153" s="49"/>
      <c r="AY153" s="49"/>
      <c r="AZ153" s="49"/>
      <c r="BA153" s="49"/>
      <c r="BB153" s="117" t="s">
        <v>2423</v>
      </c>
      <c r="BC153" s="117" t="s">
        <v>2423</v>
      </c>
      <c r="BD153" s="117" t="s">
        <v>2423</v>
      </c>
      <c r="BE153" s="117" t="s">
        <v>2423</v>
      </c>
      <c r="BF153" s="2"/>
      <c r="BG153" s="3"/>
      <c r="BH153" s="3"/>
      <c r="BI153" s="3"/>
      <c r="BJ153" s="3"/>
    </row>
    <row r="154" spans="1:62" ht="15">
      <c r="A154" s="66" t="s">
        <v>333</v>
      </c>
      <c r="B154" s="67"/>
      <c r="C154" s="67"/>
      <c r="D154" s="68">
        <v>50</v>
      </c>
      <c r="E154" s="70"/>
      <c r="F154" s="105" t="str">
        <f>HYPERLINK("https://yt3.ggpht.com/I5UodV7zkeHz1E1fEh76TmdBaYMY-DOq0jYLjSCLBiphkX5Y2AyCAGquP0x6Zr3tebAWZmuzrGk=s88-c-k-c0x00ffffff-no-rj")</f>
        <v>https://yt3.ggpht.com/I5UodV7zkeHz1E1fEh76TmdBaYMY-DOq0jYLjSCLBiphkX5Y2AyCAGquP0x6Zr3tebAWZmuzrGk=s88-c-k-c0x00ffffff-no-rj</v>
      </c>
      <c r="G154" s="67"/>
      <c r="H154" s="71" t="s">
        <v>2562</v>
      </c>
      <c r="I154" s="72"/>
      <c r="J154" s="72" t="s">
        <v>159</v>
      </c>
      <c r="K154" s="71" t="s">
        <v>2562</v>
      </c>
      <c r="L154" s="75">
        <v>1</v>
      </c>
      <c r="M154" s="76">
        <v>5194.65283203125</v>
      </c>
      <c r="N154" s="76">
        <v>1361.898681640625</v>
      </c>
      <c r="O154" s="77"/>
      <c r="P154" s="78"/>
      <c r="Q154" s="78"/>
      <c r="R154" s="90"/>
      <c r="S154" s="49">
        <v>0</v>
      </c>
      <c r="T154" s="49">
        <v>1</v>
      </c>
      <c r="U154" s="50">
        <v>0</v>
      </c>
      <c r="V154" s="50">
        <v>0.255736</v>
      </c>
      <c r="W154" s="51"/>
      <c r="X154" s="51"/>
      <c r="Y154" s="51"/>
      <c r="Z154" s="50"/>
      <c r="AA154" s="73">
        <v>154</v>
      </c>
      <c r="AB154" s="73"/>
      <c r="AC154" s="74"/>
      <c r="AD154" s="81" t="s">
        <v>2562</v>
      </c>
      <c r="AE154" s="81" t="s">
        <v>3150</v>
      </c>
      <c r="AF154" s="81"/>
      <c r="AG154" s="81"/>
      <c r="AH154" s="81"/>
      <c r="AI154" s="81" t="s">
        <v>3253</v>
      </c>
      <c r="AJ154" s="88">
        <v>44388.21928240741</v>
      </c>
      <c r="AK154" s="86" t="str">
        <f>HYPERLINK("https://yt3.ggpht.com/I5UodV7zkeHz1E1fEh76TmdBaYMY-DOq0jYLjSCLBiphkX5Y2AyCAGquP0x6Zr3tebAWZmuzrGk=s88-c-k-c0x00ffffff-no-rj")</f>
        <v>https://yt3.ggpht.com/I5UodV7zkeHz1E1fEh76TmdBaYMY-DOq0jYLjSCLBiphkX5Y2AyCAGquP0x6Zr3tebAWZmuzrGk=s88-c-k-c0x00ffffff-no-rj</v>
      </c>
      <c r="AL154" s="81">
        <v>1660920</v>
      </c>
      <c r="AM154" s="81">
        <v>0</v>
      </c>
      <c r="AN154" s="81">
        <v>3180</v>
      </c>
      <c r="AO154" s="81" t="b">
        <v>0</v>
      </c>
      <c r="AP154" s="81">
        <v>132</v>
      </c>
      <c r="AQ154" s="81"/>
      <c r="AR154" s="81"/>
      <c r="AS154" s="81" t="s">
        <v>3378</v>
      </c>
      <c r="AT154" s="86" t="str">
        <f>HYPERLINK("https://www.youtube.com/channel/UC1fCwbug2b7e_bDtcs_ESbA")</f>
        <v>https://www.youtube.com/channel/UC1fCwbug2b7e_bDtcs_ESbA</v>
      </c>
      <c r="AU154" s="81" t="str">
        <f>REPLACE(INDEX(GroupVertices[Group],MATCH("~"&amp;Vertices[[#This Row],[Vertex]],GroupVertices[Vertex],0)),1,1,"")</f>
        <v>6</v>
      </c>
      <c r="AV154" s="49"/>
      <c r="AW154" s="49"/>
      <c r="AX154" s="49"/>
      <c r="AY154" s="49"/>
      <c r="AZ154" s="49"/>
      <c r="BA154" s="49"/>
      <c r="BB154" s="117" t="s">
        <v>3806</v>
      </c>
      <c r="BC154" s="117" t="s">
        <v>3806</v>
      </c>
      <c r="BD154" s="117" t="s">
        <v>4507</v>
      </c>
      <c r="BE154" s="117" t="s">
        <v>4507</v>
      </c>
      <c r="BF154" s="2"/>
      <c r="BG154" s="3"/>
      <c r="BH154" s="3"/>
      <c r="BI154" s="3"/>
      <c r="BJ154" s="3"/>
    </row>
    <row r="155" spans="1:62" ht="15">
      <c r="A155" s="66" t="s">
        <v>334</v>
      </c>
      <c r="B155" s="67"/>
      <c r="C155" s="67"/>
      <c r="D155" s="68">
        <v>50</v>
      </c>
      <c r="E155" s="70"/>
      <c r="F155" s="105" t="str">
        <f>HYPERLINK("https://yt3.ggpht.com/ytc/AIf8zZRQmdwlCTfSPAWY8URonzAjz8yQSgS7-UoUYi1N=s88-c-k-c0x00ffffff-no-rj")</f>
        <v>https://yt3.ggpht.com/ytc/AIf8zZRQmdwlCTfSPAWY8URonzAjz8yQSgS7-UoUYi1N=s88-c-k-c0x00ffffff-no-rj</v>
      </c>
      <c r="G155" s="67"/>
      <c r="H155" s="71" t="s">
        <v>2563</v>
      </c>
      <c r="I155" s="72"/>
      <c r="J155" s="72" t="s">
        <v>159</v>
      </c>
      <c r="K155" s="71" t="s">
        <v>2563</v>
      </c>
      <c r="L155" s="75">
        <v>1</v>
      </c>
      <c r="M155" s="76">
        <v>3890.020263671875</v>
      </c>
      <c r="N155" s="76">
        <v>3508.530517578125</v>
      </c>
      <c r="O155" s="77"/>
      <c r="P155" s="78"/>
      <c r="Q155" s="78"/>
      <c r="R155" s="90"/>
      <c r="S155" s="49">
        <v>0</v>
      </c>
      <c r="T155" s="49">
        <v>1</v>
      </c>
      <c r="U155" s="50">
        <v>0</v>
      </c>
      <c r="V155" s="50">
        <v>0.255736</v>
      </c>
      <c r="W155" s="51"/>
      <c r="X155" s="51"/>
      <c r="Y155" s="51"/>
      <c r="Z155" s="50"/>
      <c r="AA155" s="73">
        <v>155</v>
      </c>
      <c r="AB155" s="73"/>
      <c r="AC155" s="74"/>
      <c r="AD155" s="81" t="s">
        <v>2563</v>
      </c>
      <c r="AE155" s="81"/>
      <c r="AF155" s="81"/>
      <c r="AG155" s="81"/>
      <c r="AH155" s="81"/>
      <c r="AI155" s="81" t="s">
        <v>3254</v>
      </c>
      <c r="AJ155" s="88">
        <v>39254.09137731481</v>
      </c>
      <c r="AK155" s="86" t="str">
        <f>HYPERLINK("https://yt3.ggpht.com/ytc/AIf8zZRQmdwlCTfSPAWY8URonzAjz8yQSgS7-UoUYi1N=s88-c-k-c0x00ffffff-no-rj")</f>
        <v>https://yt3.ggpht.com/ytc/AIf8zZRQmdwlCTfSPAWY8URonzAjz8yQSgS7-UoUYi1N=s88-c-k-c0x00ffffff-no-rj</v>
      </c>
      <c r="AL155" s="81">
        <v>40085</v>
      </c>
      <c r="AM155" s="81">
        <v>0</v>
      </c>
      <c r="AN155" s="81">
        <v>14</v>
      </c>
      <c r="AO155" s="81" t="b">
        <v>0</v>
      </c>
      <c r="AP155" s="81">
        <v>19</v>
      </c>
      <c r="AQ155" s="81"/>
      <c r="AR155" s="81"/>
      <c r="AS155" s="81" t="s">
        <v>3378</v>
      </c>
      <c r="AT155" s="86" t="str">
        <f>HYPERLINK("https://www.youtube.com/channel/UCki8Y_pL7as_Z-EBieo2kGw")</f>
        <v>https://www.youtube.com/channel/UCki8Y_pL7as_Z-EBieo2kGw</v>
      </c>
      <c r="AU155" s="81" t="str">
        <f>REPLACE(INDEX(GroupVertices[Group],MATCH("~"&amp;Vertices[[#This Row],[Vertex]],GroupVertices[Vertex],0)),1,1,"")</f>
        <v>6</v>
      </c>
      <c r="AV155" s="49"/>
      <c r="AW155" s="49"/>
      <c r="AX155" s="49"/>
      <c r="AY155" s="49"/>
      <c r="AZ155" s="49"/>
      <c r="BA155" s="49"/>
      <c r="BB155" s="117" t="s">
        <v>3807</v>
      </c>
      <c r="BC155" s="117" t="s">
        <v>3807</v>
      </c>
      <c r="BD155" s="117" t="s">
        <v>4508</v>
      </c>
      <c r="BE155" s="117" t="s">
        <v>4508</v>
      </c>
      <c r="BF155" s="2"/>
      <c r="BG155" s="3"/>
      <c r="BH155" s="3"/>
      <c r="BI155" s="3"/>
      <c r="BJ155" s="3"/>
    </row>
    <row r="156" spans="1:62" ht="15">
      <c r="A156" s="66" t="s">
        <v>335</v>
      </c>
      <c r="B156" s="67"/>
      <c r="C156" s="67"/>
      <c r="D156" s="68">
        <v>50</v>
      </c>
      <c r="E156" s="70"/>
      <c r="F156" s="105" t="str">
        <f>HYPERLINK("https://yt3.ggpht.com/ytc/AIf8zZSuCijAw4bsPWLaMqsBg_Km4Mo5NIUhw3uegTS4=s88-c-k-c0x00ffffff-no-rj")</f>
        <v>https://yt3.ggpht.com/ytc/AIf8zZSuCijAw4bsPWLaMqsBg_Km4Mo5NIUhw3uegTS4=s88-c-k-c0x00ffffff-no-rj</v>
      </c>
      <c r="G156" s="67"/>
      <c r="H156" s="71" t="s">
        <v>2564</v>
      </c>
      <c r="I156" s="72"/>
      <c r="J156" s="72" t="s">
        <v>159</v>
      </c>
      <c r="K156" s="71" t="s">
        <v>2564</v>
      </c>
      <c r="L156" s="75">
        <v>1</v>
      </c>
      <c r="M156" s="76">
        <v>4649.52734375</v>
      </c>
      <c r="N156" s="76">
        <v>3939.678466796875</v>
      </c>
      <c r="O156" s="77"/>
      <c r="P156" s="78"/>
      <c r="Q156" s="78"/>
      <c r="R156" s="90"/>
      <c r="S156" s="49">
        <v>0</v>
      </c>
      <c r="T156" s="49">
        <v>1</v>
      </c>
      <c r="U156" s="50">
        <v>0</v>
      </c>
      <c r="V156" s="50">
        <v>0.255736</v>
      </c>
      <c r="W156" s="51"/>
      <c r="X156" s="51"/>
      <c r="Y156" s="51"/>
      <c r="Z156" s="50"/>
      <c r="AA156" s="73">
        <v>156</v>
      </c>
      <c r="AB156" s="73"/>
      <c r="AC156" s="74"/>
      <c r="AD156" s="81" t="s">
        <v>2564</v>
      </c>
      <c r="AE156" s="81"/>
      <c r="AF156" s="81"/>
      <c r="AG156" s="81"/>
      <c r="AH156" s="81"/>
      <c r="AI156" s="81" t="s">
        <v>3255</v>
      </c>
      <c r="AJ156" s="88">
        <v>38984.71303240741</v>
      </c>
      <c r="AK156" s="86" t="str">
        <f>HYPERLINK("https://yt3.ggpht.com/ytc/AIf8zZSuCijAw4bsPWLaMqsBg_Km4Mo5NIUhw3uegTS4=s88-c-k-c0x00ffffff-no-rj")</f>
        <v>https://yt3.ggpht.com/ytc/AIf8zZSuCijAw4bsPWLaMqsBg_Km4Mo5NIUhw3uegTS4=s88-c-k-c0x00ffffff-no-rj</v>
      </c>
      <c r="AL156" s="81">
        <v>3196</v>
      </c>
      <c r="AM156" s="81">
        <v>0</v>
      </c>
      <c r="AN156" s="81">
        <v>25</v>
      </c>
      <c r="AO156" s="81" t="b">
        <v>0</v>
      </c>
      <c r="AP156" s="81">
        <v>36</v>
      </c>
      <c r="AQ156" s="81"/>
      <c r="AR156" s="81"/>
      <c r="AS156" s="81" t="s">
        <v>3378</v>
      </c>
      <c r="AT156" s="86" t="str">
        <f>HYPERLINK("https://www.youtube.com/channel/UC57FgItCByLILEBHBTIqC2g")</f>
        <v>https://www.youtube.com/channel/UC57FgItCByLILEBHBTIqC2g</v>
      </c>
      <c r="AU156" s="81" t="str">
        <f>REPLACE(INDEX(GroupVertices[Group],MATCH("~"&amp;Vertices[[#This Row],[Vertex]],GroupVertices[Vertex],0)),1,1,"")</f>
        <v>6</v>
      </c>
      <c r="AV156" s="49"/>
      <c r="AW156" s="49"/>
      <c r="AX156" s="49"/>
      <c r="AY156" s="49"/>
      <c r="AZ156" s="49"/>
      <c r="BA156" s="49"/>
      <c r="BB156" s="117" t="s">
        <v>3808</v>
      </c>
      <c r="BC156" s="117" t="s">
        <v>3808</v>
      </c>
      <c r="BD156" s="117" t="s">
        <v>4509</v>
      </c>
      <c r="BE156" s="117" t="s">
        <v>4509</v>
      </c>
      <c r="BF156" s="2"/>
      <c r="BG156" s="3"/>
      <c r="BH156" s="3"/>
      <c r="BI156" s="3"/>
      <c r="BJ156" s="3"/>
    </row>
    <row r="157" spans="1:62" ht="15">
      <c r="A157" s="66" t="s">
        <v>336</v>
      </c>
      <c r="B157" s="67"/>
      <c r="C157" s="67"/>
      <c r="D157" s="68">
        <v>50</v>
      </c>
      <c r="E157" s="70"/>
      <c r="F157" s="105" t="str">
        <f>HYPERLINK("https://yt3.ggpht.com/ytc/AIf8zZSrKJ8ReQvgytiA5P3sMIVdEZIFL1eWDLyqEIe6BA=s88-c-k-c0x00ffffff-no-rj")</f>
        <v>https://yt3.ggpht.com/ytc/AIf8zZSrKJ8ReQvgytiA5P3sMIVdEZIFL1eWDLyqEIe6BA=s88-c-k-c0x00ffffff-no-rj</v>
      </c>
      <c r="G157" s="67"/>
      <c r="H157" s="71" t="s">
        <v>2565</v>
      </c>
      <c r="I157" s="72"/>
      <c r="J157" s="72" t="s">
        <v>159</v>
      </c>
      <c r="K157" s="71" t="s">
        <v>2565</v>
      </c>
      <c r="L157" s="75">
        <v>1</v>
      </c>
      <c r="M157" s="76">
        <v>5414.982421875</v>
      </c>
      <c r="N157" s="76">
        <v>5279.67822265625</v>
      </c>
      <c r="O157" s="77"/>
      <c r="P157" s="78"/>
      <c r="Q157" s="78"/>
      <c r="R157" s="90"/>
      <c r="S157" s="49">
        <v>0</v>
      </c>
      <c r="T157" s="49">
        <v>1</v>
      </c>
      <c r="U157" s="50">
        <v>0</v>
      </c>
      <c r="V157" s="50">
        <v>0.255736</v>
      </c>
      <c r="W157" s="51"/>
      <c r="X157" s="51"/>
      <c r="Y157" s="51"/>
      <c r="Z157" s="50"/>
      <c r="AA157" s="73">
        <v>157</v>
      </c>
      <c r="AB157" s="73"/>
      <c r="AC157" s="74"/>
      <c r="AD157" s="81" t="s">
        <v>2565</v>
      </c>
      <c r="AE157" s="81" t="s">
        <v>3151</v>
      </c>
      <c r="AF157" s="81"/>
      <c r="AG157" s="81"/>
      <c r="AH157" s="81"/>
      <c r="AI157" s="81" t="s">
        <v>1802</v>
      </c>
      <c r="AJ157" s="88">
        <v>44106.62210648148</v>
      </c>
      <c r="AK157" s="86" t="str">
        <f>HYPERLINK("https://yt3.ggpht.com/ytc/AIf8zZSrKJ8ReQvgytiA5P3sMIVdEZIFL1eWDLyqEIe6BA=s88-c-k-c0x00ffffff-no-rj")</f>
        <v>https://yt3.ggpht.com/ytc/AIf8zZSrKJ8ReQvgytiA5P3sMIVdEZIFL1eWDLyqEIe6BA=s88-c-k-c0x00ffffff-no-rj</v>
      </c>
      <c r="AL157" s="81">
        <v>0</v>
      </c>
      <c r="AM157" s="81">
        <v>0</v>
      </c>
      <c r="AN157" s="81">
        <v>1</v>
      </c>
      <c r="AO157" s="81" t="b">
        <v>0</v>
      </c>
      <c r="AP157" s="81">
        <v>0</v>
      </c>
      <c r="AQ157" s="81"/>
      <c r="AR157" s="81"/>
      <c r="AS157" s="81" t="s">
        <v>3378</v>
      </c>
      <c r="AT157" s="86" t="str">
        <f>HYPERLINK("https://www.youtube.com/channel/UCzG1sBr9bsjzGeLLY56Sb6g")</f>
        <v>https://www.youtube.com/channel/UCzG1sBr9bsjzGeLLY56Sb6g</v>
      </c>
      <c r="AU157" s="81" t="str">
        <f>REPLACE(INDEX(GroupVertices[Group],MATCH("~"&amp;Vertices[[#This Row],[Vertex]],GroupVertices[Vertex],0)),1,1,"")</f>
        <v>6</v>
      </c>
      <c r="AV157" s="49"/>
      <c r="AW157" s="49"/>
      <c r="AX157" s="49"/>
      <c r="AY157" s="49"/>
      <c r="AZ157" s="49"/>
      <c r="BA157" s="49"/>
      <c r="BB157" s="117" t="s">
        <v>3809</v>
      </c>
      <c r="BC157" s="117" t="s">
        <v>3809</v>
      </c>
      <c r="BD157" s="117" t="s">
        <v>4510</v>
      </c>
      <c r="BE157" s="117" t="s">
        <v>4510</v>
      </c>
      <c r="BF157" s="2"/>
      <c r="BG157" s="3"/>
      <c r="BH157" s="3"/>
      <c r="BI157" s="3"/>
      <c r="BJ157" s="3"/>
    </row>
    <row r="158" spans="1:62" ht="15">
      <c r="A158" s="66" t="s">
        <v>337</v>
      </c>
      <c r="B158" s="67"/>
      <c r="C158" s="67"/>
      <c r="D158" s="68">
        <v>50</v>
      </c>
      <c r="E158" s="70"/>
      <c r="F158" s="105" t="str">
        <f>HYPERLINK("https://yt3.ggpht.com/ytc/AIf8zZQl1KEgB_qQ3J5QmSJ8H_f20d_TT6plnVho7lVbfw=s88-c-k-c0x00ffffff-no-rj")</f>
        <v>https://yt3.ggpht.com/ytc/AIf8zZQl1KEgB_qQ3J5QmSJ8H_f20d_TT6plnVho7lVbfw=s88-c-k-c0x00ffffff-no-rj</v>
      </c>
      <c r="G158" s="67"/>
      <c r="H158" s="71" t="s">
        <v>2566</v>
      </c>
      <c r="I158" s="72"/>
      <c r="J158" s="72" t="s">
        <v>159</v>
      </c>
      <c r="K158" s="71" t="s">
        <v>2566</v>
      </c>
      <c r="L158" s="75">
        <v>1</v>
      </c>
      <c r="M158" s="76">
        <v>4749.27685546875</v>
      </c>
      <c r="N158" s="76">
        <v>699.2124633789062</v>
      </c>
      <c r="O158" s="77"/>
      <c r="P158" s="78"/>
      <c r="Q158" s="78"/>
      <c r="R158" s="90"/>
      <c r="S158" s="49">
        <v>0</v>
      </c>
      <c r="T158" s="49">
        <v>1</v>
      </c>
      <c r="U158" s="50">
        <v>0</v>
      </c>
      <c r="V158" s="50">
        <v>0.255736</v>
      </c>
      <c r="W158" s="51"/>
      <c r="X158" s="51"/>
      <c r="Y158" s="51"/>
      <c r="Z158" s="50"/>
      <c r="AA158" s="73">
        <v>158</v>
      </c>
      <c r="AB158" s="73"/>
      <c r="AC158" s="74"/>
      <c r="AD158" s="81" t="s">
        <v>2566</v>
      </c>
      <c r="AE158" s="81" t="s">
        <v>3152</v>
      </c>
      <c r="AF158" s="81"/>
      <c r="AG158" s="81"/>
      <c r="AH158" s="81"/>
      <c r="AI158" s="81" t="s">
        <v>1803</v>
      </c>
      <c r="AJ158" s="88">
        <v>42563.240625</v>
      </c>
      <c r="AK158" s="86" t="str">
        <f>HYPERLINK("https://yt3.ggpht.com/ytc/AIf8zZQl1KEgB_qQ3J5QmSJ8H_f20d_TT6plnVho7lVbfw=s88-c-k-c0x00ffffff-no-rj")</f>
        <v>https://yt3.ggpht.com/ytc/AIf8zZQl1KEgB_qQ3J5QmSJ8H_f20d_TT6plnVho7lVbfw=s88-c-k-c0x00ffffff-no-rj</v>
      </c>
      <c r="AL158" s="81">
        <v>0</v>
      </c>
      <c r="AM158" s="81">
        <v>0</v>
      </c>
      <c r="AN158" s="81">
        <v>0</v>
      </c>
      <c r="AO158" s="81" t="b">
        <v>0</v>
      </c>
      <c r="AP158" s="81">
        <v>0</v>
      </c>
      <c r="AQ158" s="81"/>
      <c r="AR158" s="81"/>
      <c r="AS158" s="81" t="s">
        <v>3378</v>
      </c>
      <c r="AT158" s="86" t="str">
        <f>HYPERLINK("https://www.youtube.com/channel/UCR4nOW155jWnyEuMLrwCbDQ")</f>
        <v>https://www.youtube.com/channel/UCR4nOW155jWnyEuMLrwCbDQ</v>
      </c>
      <c r="AU158" s="81" t="str">
        <f>REPLACE(INDEX(GroupVertices[Group],MATCH("~"&amp;Vertices[[#This Row],[Vertex]],GroupVertices[Vertex],0)),1,1,"")</f>
        <v>6</v>
      </c>
      <c r="AV158" s="49"/>
      <c r="AW158" s="49"/>
      <c r="AX158" s="49"/>
      <c r="AY158" s="49"/>
      <c r="AZ158" s="49"/>
      <c r="BA158" s="49"/>
      <c r="BB158" s="117" t="s">
        <v>2423</v>
      </c>
      <c r="BC158" s="117" t="s">
        <v>2423</v>
      </c>
      <c r="BD158" s="117" t="s">
        <v>2423</v>
      </c>
      <c r="BE158" s="117" t="s">
        <v>2423</v>
      </c>
      <c r="BF158" s="2"/>
      <c r="BG158" s="3"/>
      <c r="BH158" s="3"/>
      <c r="BI158" s="3"/>
      <c r="BJ158" s="3"/>
    </row>
    <row r="159" spans="1:62" ht="15">
      <c r="A159" s="66" t="s">
        <v>338</v>
      </c>
      <c r="B159" s="67"/>
      <c r="C159" s="67"/>
      <c r="D159" s="68">
        <v>50</v>
      </c>
      <c r="E159" s="70"/>
      <c r="F159" s="105" t="str">
        <f>HYPERLINK("https://yt3.ggpht.com/ytc/AIf8zZQ3YXxammmpR991atjZZXc4V9mu0z_eeMjpW9Oj=s88-c-k-c0x00ffffff-no-rj")</f>
        <v>https://yt3.ggpht.com/ytc/AIf8zZQ3YXxammmpR991atjZZXc4V9mu0z_eeMjpW9Oj=s88-c-k-c0x00ffffff-no-rj</v>
      </c>
      <c r="G159" s="67"/>
      <c r="H159" s="71" t="s">
        <v>2567</v>
      </c>
      <c r="I159" s="72"/>
      <c r="J159" s="72" t="s">
        <v>159</v>
      </c>
      <c r="K159" s="71" t="s">
        <v>2567</v>
      </c>
      <c r="L159" s="75">
        <v>1</v>
      </c>
      <c r="M159" s="76">
        <v>5087.47705078125</v>
      </c>
      <c r="N159" s="76">
        <v>801.71337890625</v>
      </c>
      <c r="O159" s="77"/>
      <c r="P159" s="78"/>
      <c r="Q159" s="78"/>
      <c r="R159" s="90"/>
      <c r="S159" s="49">
        <v>0</v>
      </c>
      <c r="T159" s="49">
        <v>1</v>
      </c>
      <c r="U159" s="50">
        <v>0</v>
      </c>
      <c r="V159" s="50">
        <v>0.255736</v>
      </c>
      <c r="W159" s="51"/>
      <c r="X159" s="51"/>
      <c r="Y159" s="51"/>
      <c r="Z159" s="50"/>
      <c r="AA159" s="73">
        <v>159</v>
      </c>
      <c r="AB159" s="73"/>
      <c r="AC159" s="74"/>
      <c r="AD159" s="81" t="s">
        <v>2567</v>
      </c>
      <c r="AE159" s="81"/>
      <c r="AF159" s="81"/>
      <c r="AG159" s="81"/>
      <c r="AH159" s="81"/>
      <c r="AI159" s="81" t="s">
        <v>3256</v>
      </c>
      <c r="AJ159" s="88">
        <v>40852.65802083333</v>
      </c>
      <c r="AK159" s="86" t="str">
        <f>HYPERLINK("https://yt3.ggpht.com/ytc/AIf8zZQ3YXxammmpR991atjZZXc4V9mu0z_eeMjpW9Oj=s88-c-k-c0x00ffffff-no-rj")</f>
        <v>https://yt3.ggpht.com/ytc/AIf8zZQ3YXxammmpR991atjZZXc4V9mu0z_eeMjpW9Oj=s88-c-k-c0x00ffffff-no-rj</v>
      </c>
      <c r="AL159" s="81">
        <v>0</v>
      </c>
      <c r="AM159" s="81">
        <v>0</v>
      </c>
      <c r="AN159" s="81">
        <v>0</v>
      </c>
      <c r="AO159" s="81" t="b">
        <v>0</v>
      </c>
      <c r="AP159" s="81">
        <v>0</v>
      </c>
      <c r="AQ159" s="81"/>
      <c r="AR159" s="81"/>
      <c r="AS159" s="81" t="s">
        <v>3378</v>
      </c>
      <c r="AT159" s="86" t="str">
        <f>HYPERLINK("https://www.youtube.com/channel/UCaPf_JwHows9ashsYXFissQ")</f>
        <v>https://www.youtube.com/channel/UCaPf_JwHows9ashsYXFissQ</v>
      </c>
      <c r="AU159" s="81" t="str">
        <f>REPLACE(INDEX(GroupVertices[Group],MATCH("~"&amp;Vertices[[#This Row],[Vertex]],GroupVertices[Vertex],0)),1,1,"")</f>
        <v>6</v>
      </c>
      <c r="AV159" s="49"/>
      <c r="AW159" s="49"/>
      <c r="AX159" s="49"/>
      <c r="AY159" s="49"/>
      <c r="AZ159" s="49"/>
      <c r="BA159" s="49"/>
      <c r="BB159" s="117" t="s">
        <v>3810</v>
      </c>
      <c r="BC159" s="117" t="s">
        <v>3810</v>
      </c>
      <c r="BD159" s="117" t="s">
        <v>4511</v>
      </c>
      <c r="BE159" s="117" t="s">
        <v>4511</v>
      </c>
      <c r="BF159" s="2"/>
      <c r="BG159" s="3"/>
      <c r="BH159" s="3"/>
      <c r="BI159" s="3"/>
      <c r="BJ159" s="3"/>
    </row>
    <row r="160" spans="1:62" ht="15">
      <c r="A160" s="66" t="s">
        <v>339</v>
      </c>
      <c r="B160" s="67"/>
      <c r="C160" s="67"/>
      <c r="D160" s="68">
        <v>50</v>
      </c>
      <c r="E160" s="70"/>
      <c r="F160" s="105" t="str">
        <f>HYPERLINK("https://yt3.ggpht.com/FegfWmerSMbCL_GVQ7v_5y-dDrWmZ3dojQuaJNWDOUBaa2K4mc6mEoxX94381v_n6nz22u2_vQ=s88-c-k-c0x00ffffff-no-rj")</f>
        <v>https://yt3.ggpht.com/FegfWmerSMbCL_GVQ7v_5y-dDrWmZ3dojQuaJNWDOUBaa2K4mc6mEoxX94381v_n6nz22u2_vQ=s88-c-k-c0x00ffffff-no-rj</v>
      </c>
      <c r="G160" s="67"/>
      <c r="H160" s="71" t="s">
        <v>2568</v>
      </c>
      <c r="I160" s="72"/>
      <c r="J160" s="72" t="s">
        <v>159</v>
      </c>
      <c r="K160" s="71" t="s">
        <v>2568</v>
      </c>
      <c r="L160" s="75">
        <v>1</v>
      </c>
      <c r="M160" s="76">
        <v>4591.31298828125</v>
      </c>
      <c r="N160" s="76">
        <v>1766.787353515625</v>
      </c>
      <c r="O160" s="77"/>
      <c r="P160" s="78"/>
      <c r="Q160" s="78"/>
      <c r="R160" s="90"/>
      <c r="S160" s="49">
        <v>0</v>
      </c>
      <c r="T160" s="49">
        <v>1</v>
      </c>
      <c r="U160" s="50">
        <v>0</v>
      </c>
      <c r="V160" s="50">
        <v>0.255736</v>
      </c>
      <c r="W160" s="51"/>
      <c r="X160" s="51"/>
      <c r="Y160" s="51"/>
      <c r="Z160" s="50"/>
      <c r="AA160" s="73">
        <v>160</v>
      </c>
      <c r="AB160" s="73"/>
      <c r="AC160" s="74"/>
      <c r="AD160" s="81" t="s">
        <v>2568</v>
      </c>
      <c r="AE160" s="81"/>
      <c r="AF160" s="81"/>
      <c r="AG160" s="81"/>
      <c r="AH160" s="81"/>
      <c r="AI160" s="81" t="s">
        <v>1805</v>
      </c>
      <c r="AJ160" s="88">
        <v>44960.291655092595</v>
      </c>
      <c r="AK160" s="86" t="str">
        <f>HYPERLINK("https://yt3.ggpht.com/FegfWmerSMbCL_GVQ7v_5y-dDrWmZ3dojQuaJNWDOUBaa2K4mc6mEoxX94381v_n6nz22u2_vQ=s88-c-k-c0x00ffffff-no-rj")</f>
        <v>https://yt3.ggpht.com/FegfWmerSMbCL_GVQ7v_5y-dDrWmZ3dojQuaJNWDOUBaa2K4mc6mEoxX94381v_n6nz22u2_vQ=s88-c-k-c0x00ffffff-no-rj</v>
      </c>
      <c r="AL160" s="81">
        <v>7210</v>
      </c>
      <c r="AM160" s="81">
        <v>0</v>
      </c>
      <c r="AN160" s="81">
        <v>37</v>
      </c>
      <c r="AO160" s="81" t="b">
        <v>0</v>
      </c>
      <c r="AP160" s="81">
        <v>31</v>
      </c>
      <c r="AQ160" s="81"/>
      <c r="AR160" s="81"/>
      <c r="AS160" s="81" t="s">
        <v>3378</v>
      </c>
      <c r="AT160" s="86" t="str">
        <f>HYPERLINK("https://www.youtube.com/channel/UC0FSF_eTGNel6MhJ8KJgy0w")</f>
        <v>https://www.youtube.com/channel/UC0FSF_eTGNel6MhJ8KJgy0w</v>
      </c>
      <c r="AU160" s="81" t="str">
        <f>REPLACE(INDEX(GroupVertices[Group],MATCH("~"&amp;Vertices[[#This Row],[Vertex]],GroupVertices[Vertex],0)),1,1,"")</f>
        <v>6</v>
      </c>
      <c r="AV160" s="49"/>
      <c r="AW160" s="49"/>
      <c r="AX160" s="49"/>
      <c r="AY160" s="49"/>
      <c r="AZ160" s="49"/>
      <c r="BA160" s="49"/>
      <c r="BB160" s="117" t="s">
        <v>3811</v>
      </c>
      <c r="BC160" s="117" t="s">
        <v>3811</v>
      </c>
      <c r="BD160" s="117" t="s">
        <v>4512</v>
      </c>
      <c r="BE160" s="117" t="s">
        <v>4512</v>
      </c>
      <c r="BF160" s="2"/>
      <c r="BG160" s="3"/>
      <c r="BH160" s="3"/>
      <c r="BI160" s="3"/>
      <c r="BJ160" s="3"/>
    </row>
    <row r="161" spans="1:62" ht="15">
      <c r="A161" s="66" t="s">
        <v>340</v>
      </c>
      <c r="B161" s="67"/>
      <c r="C161" s="67"/>
      <c r="D161" s="68">
        <v>50</v>
      </c>
      <c r="E161" s="70"/>
      <c r="F161" s="105" t="str">
        <f>HYPERLINK("https://yt3.ggpht.com/lvYjQ7Kg7C7roKYO3Qbq-FLugCgKqRNfX0sDq8VWofzve8CnV4ZsqZcvbd1Eh97SRr4RbTpM=s88-c-k-c0x00ffffff-no-rj")</f>
        <v>https://yt3.ggpht.com/lvYjQ7Kg7C7roKYO3Qbq-FLugCgKqRNfX0sDq8VWofzve8CnV4ZsqZcvbd1Eh97SRr4RbTpM=s88-c-k-c0x00ffffff-no-rj</v>
      </c>
      <c r="G161" s="67"/>
      <c r="H161" s="71" t="s">
        <v>2569</v>
      </c>
      <c r="I161" s="72"/>
      <c r="J161" s="72" t="s">
        <v>159</v>
      </c>
      <c r="K161" s="71" t="s">
        <v>2569</v>
      </c>
      <c r="L161" s="75">
        <v>1</v>
      </c>
      <c r="M161" s="76">
        <v>4163.2412109375</v>
      </c>
      <c r="N161" s="76">
        <v>1559.7369384765625</v>
      </c>
      <c r="O161" s="77"/>
      <c r="P161" s="78"/>
      <c r="Q161" s="78"/>
      <c r="R161" s="90"/>
      <c r="S161" s="49">
        <v>0</v>
      </c>
      <c r="T161" s="49">
        <v>1</v>
      </c>
      <c r="U161" s="50">
        <v>0</v>
      </c>
      <c r="V161" s="50">
        <v>0.255736</v>
      </c>
      <c r="W161" s="51"/>
      <c r="X161" s="51"/>
      <c r="Y161" s="51"/>
      <c r="Z161" s="50"/>
      <c r="AA161" s="73">
        <v>161</v>
      </c>
      <c r="AB161" s="73"/>
      <c r="AC161" s="74"/>
      <c r="AD161" s="81" t="s">
        <v>2569</v>
      </c>
      <c r="AE161" s="81"/>
      <c r="AF161" s="81"/>
      <c r="AG161" s="81"/>
      <c r="AH161" s="81"/>
      <c r="AI161" s="81" t="s">
        <v>1806</v>
      </c>
      <c r="AJ161" s="88">
        <v>42364.31662037037</v>
      </c>
      <c r="AK161" s="86" t="str">
        <f>HYPERLINK("https://yt3.ggpht.com/lvYjQ7Kg7C7roKYO3Qbq-FLugCgKqRNfX0sDq8VWofzve8CnV4ZsqZcvbd1Eh97SRr4RbTpM=s88-c-k-c0x00ffffff-no-rj")</f>
        <v>https://yt3.ggpht.com/lvYjQ7Kg7C7roKYO3Qbq-FLugCgKqRNfX0sDq8VWofzve8CnV4ZsqZcvbd1Eh97SRr4RbTpM=s88-c-k-c0x00ffffff-no-rj</v>
      </c>
      <c r="AL161" s="81">
        <v>0</v>
      </c>
      <c r="AM161" s="81">
        <v>0</v>
      </c>
      <c r="AN161" s="81">
        <v>7</v>
      </c>
      <c r="AO161" s="81" t="b">
        <v>0</v>
      </c>
      <c r="AP161" s="81">
        <v>0</v>
      </c>
      <c r="AQ161" s="81"/>
      <c r="AR161" s="81"/>
      <c r="AS161" s="81" t="s">
        <v>3378</v>
      </c>
      <c r="AT161" s="86" t="str">
        <f>HYPERLINK("https://www.youtube.com/channel/UCtDpcD9Jk26fmd1Z4NgJD4Q")</f>
        <v>https://www.youtube.com/channel/UCtDpcD9Jk26fmd1Z4NgJD4Q</v>
      </c>
      <c r="AU161" s="81" t="str">
        <f>REPLACE(INDEX(GroupVertices[Group],MATCH("~"&amp;Vertices[[#This Row],[Vertex]],GroupVertices[Vertex],0)),1,1,"")</f>
        <v>6</v>
      </c>
      <c r="AV161" s="49" t="s">
        <v>3520</v>
      </c>
      <c r="AW161" s="49" t="s">
        <v>3676</v>
      </c>
      <c r="AX161" s="49" t="s">
        <v>2414</v>
      </c>
      <c r="AY161" s="49" t="s">
        <v>2414</v>
      </c>
      <c r="AZ161" s="49"/>
      <c r="BA161" s="49"/>
      <c r="BB161" s="117" t="s">
        <v>3812</v>
      </c>
      <c r="BC161" s="117" t="s">
        <v>3812</v>
      </c>
      <c r="BD161" s="117" t="s">
        <v>4513</v>
      </c>
      <c r="BE161" s="117" t="s">
        <v>4513</v>
      </c>
      <c r="BF161" s="2"/>
      <c r="BG161" s="3"/>
      <c r="BH161" s="3"/>
      <c r="BI161" s="3"/>
      <c r="BJ161" s="3"/>
    </row>
    <row r="162" spans="1:62" ht="15">
      <c r="A162" s="66" t="s">
        <v>341</v>
      </c>
      <c r="B162" s="67"/>
      <c r="C162" s="67"/>
      <c r="D162" s="68">
        <v>50</v>
      </c>
      <c r="E162" s="70"/>
      <c r="F162" s="105" t="str">
        <f>HYPERLINK("https://yt3.ggpht.com/DH1xrFqxuRd6S7RZS6etWBIhbjvn3P6sAezhWSrmkjV-Uhgfq5fALWV4qMPRWyoxYCyEdlY0=s88-c-k-c0x00ffffff-no-rj")</f>
        <v>https://yt3.ggpht.com/DH1xrFqxuRd6S7RZS6etWBIhbjvn3P6sAezhWSrmkjV-Uhgfq5fALWV4qMPRWyoxYCyEdlY0=s88-c-k-c0x00ffffff-no-rj</v>
      </c>
      <c r="G162" s="67"/>
      <c r="H162" s="71" t="s">
        <v>2570</v>
      </c>
      <c r="I162" s="72"/>
      <c r="J162" s="72" t="s">
        <v>159</v>
      </c>
      <c r="K162" s="71" t="s">
        <v>2570</v>
      </c>
      <c r="L162" s="75">
        <v>1</v>
      </c>
      <c r="M162" s="76">
        <v>5234.755859375</v>
      </c>
      <c r="N162" s="76">
        <v>2377.03369140625</v>
      </c>
      <c r="O162" s="77"/>
      <c r="P162" s="78"/>
      <c r="Q162" s="78"/>
      <c r="R162" s="90"/>
      <c r="S162" s="49">
        <v>0</v>
      </c>
      <c r="T162" s="49">
        <v>1</v>
      </c>
      <c r="U162" s="50">
        <v>0</v>
      </c>
      <c r="V162" s="50">
        <v>0.255736</v>
      </c>
      <c r="W162" s="51"/>
      <c r="X162" s="51"/>
      <c r="Y162" s="51"/>
      <c r="Z162" s="50"/>
      <c r="AA162" s="73">
        <v>162</v>
      </c>
      <c r="AB162" s="73"/>
      <c r="AC162" s="74"/>
      <c r="AD162" s="81" t="s">
        <v>2570</v>
      </c>
      <c r="AE162" s="81"/>
      <c r="AF162" s="81"/>
      <c r="AG162" s="81"/>
      <c r="AH162" s="81"/>
      <c r="AI162" s="81" t="s">
        <v>1807</v>
      </c>
      <c r="AJ162" s="88">
        <v>44396.57009259259</v>
      </c>
      <c r="AK162" s="86" t="str">
        <f>HYPERLINK("https://yt3.ggpht.com/DH1xrFqxuRd6S7RZS6etWBIhbjvn3P6sAezhWSrmkjV-Uhgfq5fALWV4qMPRWyoxYCyEdlY0=s88-c-k-c0x00ffffff-no-rj")</f>
        <v>https://yt3.ggpht.com/DH1xrFqxuRd6S7RZS6etWBIhbjvn3P6sAezhWSrmkjV-Uhgfq5fALWV4qMPRWyoxYCyEdlY0=s88-c-k-c0x00ffffff-no-rj</v>
      </c>
      <c r="AL162" s="81">
        <v>476</v>
      </c>
      <c r="AM162" s="81">
        <v>0</v>
      </c>
      <c r="AN162" s="81">
        <v>16</v>
      </c>
      <c r="AO162" s="81" t="b">
        <v>0</v>
      </c>
      <c r="AP162" s="81">
        <v>16</v>
      </c>
      <c r="AQ162" s="81"/>
      <c r="AR162" s="81"/>
      <c r="AS162" s="81" t="s">
        <v>3378</v>
      </c>
      <c r="AT162" s="86" t="str">
        <f>HYPERLINK("https://www.youtube.com/channel/UCZLu92TSG1K7-7IJXmU6fEA")</f>
        <v>https://www.youtube.com/channel/UCZLu92TSG1K7-7IJXmU6fEA</v>
      </c>
      <c r="AU162" s="81" t="str">
        <f>REPLACE(INDEX(GroupVertices[Group],MATCH("~"&amp;Vertices[[#This Row],[Vertex]],GroupVertices[Vertex],0)),1,1,"")</f>
        <v>6</v>
      </c>
      <c r="AV162" s="49"/>
      <c r="AW162" s="49"/>
      <c r="AX162" s="49"/>
      <c r="AY162" s="49"/>
      <c r="AZ162" s="49"/>
      <c r="BA162" s="49"/>
      <c r="BB162" s="117" t="s">
        <v>3813</v>
      </c>
      <c r="BC162" s="117" t="s">
        <v>3813</v>
      </c>
      <c r="BD162" s="117" t="s">
        <v>4514</v>
      </c>
      <c r="BE162" s="117" t="s">
        <v>4514</v>
      </c>
      <c r="BF162" s="2"/>
      <c r="BG162" s="3"/>
      <c r="BH162" s="3"/>
      <c r="BI162" s="3"/>
      <c r="BJ162" s="3"/>
    </row>
    <row r="163" spans="1:62" ht="15">
      <c r="A163" s="66" t="s">
        <v>342</v>
      </c>
      <c r="B163" s="67"/>
      <c r="C163" s="67"/>
      <c r="D163" s="68">
        <v>50</v>
      </c>
      <c r="E163" s="70"/>
      <c r="F163" s="105" t="str">
        <f>HYPERLINK("https://yt3.ggpht.com/ytc/AIf8zZSDnanct7_1GHtE3TqpF0MaozY_EzeiUXtgZAnmdy1ZmZ9tHfzMxbplXfVvCPF9=s88-c-k-c0x00ffffff-no-rj")</f>
        <v>https://yt3.ggpht.com/ytc/AIf8zZSDnanct7_1GHtE3TqpF0MaozY_EzeiUXtgZAnmdy1ZmZ9tHfzMxbplXfVvCPF9=s88-c-k-c0x00ffffff-no-rj</v>
      </c>
      <c r="G163" s="67"/>
      <c r="H163" s="71" t="s">
        <v>2571</v>
      </c>
      <c r="I163" s="72"/>
      <c r="J163" s="72" t="s">
        <v>159</v>
      </c>
      <c r="K163" s="71" t="s">
        <v>2571</v>
      </c>
      <c r="L163" s="75">
        <v>1</v>
      </c>
      <c r="M163" s="76">
        <v>5077.931640625</v>
      </c>
      <c r="N163" s="76">
        <v>175.41293334960938</v>
      </c>
      <c r="O163" s="77"/>
      <c r="P163" s="78"/>
      <c r="Q163" s="78"/>
      <c r="R163" s="90"/>
      <c r="S163" s="49">
        <v>0</v>
      </c>
      <c r="T163" s="49">
        <v>1</v>
      </c>
      <c r="U163" s="50">
        <v>0</v>
      </c>
      <c r="V163" s="50">
        <v>0.255736</v>
      </c>
      <c r="W163" s="51"/>
      <c r="X163" s="51"/>
      <c r="Y163" s="51"/>
      <c r="Z163" s="50"/>
      <c r="AA163" s="73">
        <v>163</v>
      </c>
      <c r="AB163" s="73"/>
      <c r="AC163" s="74"/>
      <c r="AD163" s="81" t="s">
        <v>2571</v>
      </c>
      <c r="AE163" s="81" t="s">
        <v>3153</v>
      </c>
      <c r="AF163" s="81"/>
      <c r="AG163" s="81"/>
      <c r="AH163" s="81"/>
      <c r="AI163" s="81" t="s">
        <v>3257</v>
      </c>
      <c r="AJ163" s="88">
        <v>45160.71443287037</v>
      </c>
      <c r="AK163" s="86" t="str">
        <f>HYPERLINK("https://yt3.ggpht.com/ytc/AIf8zZSDnanct7_1GHtE3TqpF0MaozY_EzeiUXtgZAnmdy1ZmZ9tHfzMxbplXfVvCPF9=s88-c-k-c0x00ffffff-no-rj")</f>
        <v>https://yt3.ggpht.com/ytc/AIf8zZSDnanct7_1GHtE3TqpF0MaozY_EzeiUXtgZAnmdy1ZmZ9tHfzMxbplXfVvCPF9=s88-c-k-c0x00ffffff-no-rj</v>
      </c>
      <c r="AL163" s="81">
        <v>0</v>
      </c>
      <c r="AM163" s="81">
        <v>0</v>
      </c>
      <c r="AN163" s="81">
        <v>2</v>
      </c>
      <c r="AO163" s="81" t="b">
        <v>0</v>
      </c>
      <c r="AP163" s="81">
        <v>0</v>
      </c>
      <c r="AQ163" s="81"/>
      <c r="AR163" s="81"/>
      <c r="AS163" s="81" t="s">
        <v>3378</v>
      </c>
      <c r="AT163" s="86" t="str">
        <f>HYPERLINK("https://www.youtube.com/channel/UCFrhm26pLZoaqkSb7QfOweg")</f>
        <v>https://www.youtube.com/channel/UCFrhm26pLZoaqkSb7QfOweg</v>
      </c>
      <c r="AU163" s="81" t="str">
        <f>REPLACE(INDEX(GroupVertices[Group],MATCH("~"&amp;Vertices[[#This Row],[Vertex]],GroupVertices[Vertex],0)),1,1,"")</f>
        <v>6</v>
      </c>
      <c r="AV163" s="49"/>
      <c r="AW163" s="49"/>
      <c r="AX163" s="49"/>
      <c r="AY163" s="49"/>
      <c r="AZ163" s="49"/>
      <c r="BA163" s="49"/>
      <c r="BB163" s="117" t="s">
        <v>3814</v>
      </c>
      <c r="BC163" s="117" t="s">
        <v>3814</v>
      </c>
      <c r="BD163" s="117" t="s">
        <v>4515</v>
      </c>
      <c r="BE163" s="117" t="s">
        <v>4515</v>
      </c>
      <c r="BF163" s="2"/>
      <c r="BG163" s="3"/>
      <c r="BH163" s="3"/>
      <c r="BI163" s="3"/>
      <c r="BJ163" s="3"/>
    </row>
    <row r="164" spans="1:62" ht="15">
      <c r="A164" s="66" t="s">
        <v>343</v>
      </c>
      <c r="B164" s="67"/>
      <c r="C164" s="67"/>
      <c r="D164" s="68">
        <v>50</v>
      </c>
      <c r="E164" s="70"/>
      <c r="F164" s="105" t="str">
        <f>HYPERLINK("https://yt3.ggpht.com/ytc/AIf8zZTY-rnhsrIhUB9iUxjwAacNbVbPtkR0UDWZzqqIcA=s88-c-k-c0x00ffffff-no-rj")</f>
        <v>https://yt3.ggpht.com/ytc/AIf8zZTY-rnhsrIhUB9iUxjwAacNbVbPtkR0UDWZzqqIcA=s88-c-k-c0x00ffffff-no-rj</v>
      </c>
      <c r="G164" s="67"/>
      <c r="H164" s="71" t="s">
        <v>2572</v>
      </c>
      <c r="I164" s="72"/>
      <c r="J164" s="72" t="s">
        <v>159</v>
      </c>
      <c r="K164" s="71" t="s">
        <v>2572</v>
      </c>
      <c r="L164" s="75">
        <v>1</v>
      </c>
      <c r="M164" s="76">
        <v>4974.48876953125</v>
      </c>
      <c r="N164" s="76">
        <v>5270.248046875</v>
      </c>
      <c r="O164" s="77"/>
      <c r="P164" s="78"/>
      <c r="Q164" s="78"/>
      <c r="R164" s="90"/>
      <c r="S164" s="49">
        <v>0</v>
      </c>
      <c r="T164" s="49">
        <v>1</v>
      </c>
      <c r="U164" s="50">
        <v>0</v>
      </c>
      <c r="V164" s="50">
        <v>0.255736</v>
      </c>
      <c r="W164" s="51"/>
      <c r="X164" s="51"/>
      <c r="Y164" s="51"/>
      <c r="Z164" s="50"/>
      <c r="AA164" s="73">
        <v>164</v>
      </c>
      <c r="AB164" s="73"/>
      <c r="AC164" s="74"/>
      <c r="AD164" s="81" t="s">
        <v>2572</v>
      </c>
      <c r="AE164" s="81"/>
      <c r="AF164" s="81"/>
      <c r="AG164" s="81"/>
      <c r="AH164" s="81"/>
      <c r="AI164" s="81" t="s">
        <v>1809</v>
      </c>
      <c r="AJ164" s="88">
        <v>41343.14690972222</v>
      </c>
      <c r="AK164" s="86" t="str">
        <f>HYPERLINK("https://yt3.ggpht.com/ytc/AIf8zZTY-rnhsrIhUB9iUxjwAacNbVbPtkR0UDWZzqqIcA=s88-c-k-c0x00ffffff-no-rj")</f>
        <v>https://yt3.ggpht.com/ytc/AIf8zZTY-rnhsrIhUB9iUxjwAacNbVbPtkR0UDWZzqqIcA=s88-c-k-c0x00ffffff-no-rj</v>
      </c>
      <c r="AL164" s="81">
        <v>0</v>
      </c>
      <c r="AM164" s="81">
        <v>0</v>
      </c>
      <c r="AN164" s="81">
        <v>0</v>
      </c>
      <c r="AO164" s="81" t="b">
        <v>0</v>
      </c>
      <c r="AP164" s="81">
        <v>0</v>
      </c>
      <c r="AQ164" s="81"/>
      <c r="AR164" s="81"/>
      <c r="AS164" s="81" t="s">
        <v>3378</v>
      </c>
      <c r="AT164" s="86" t="str">
        <f>HYPERLINK("https://www.youtube.com/channel/UCJCAftk_n2vvWeGFyBsfS1g")</f>
        <v>https://www.youtube.com/channel/UCJCAftk_n2vvWeGFyBsfS1g</v>
      </c>
      <c r="AU164" s="81" t="str">
        <f>REPLACE(INDEX(GroupVertices[Group],MATCH("~"&amp;Vertices[[#This Row],[Vertex]],GroupVertices[Vertex],0)),1,1,"")</f>
        <v>6</v>
      </c>
      <c r="AV164" s="49"/>
      <c r="AW164" s="49"/>
      <c r="AX164" s="49"/>
      <c r="AY164" s="49"/>
      <c r="AZ164" s="49"/>
      <c r="BA164" s="49"/>
      <c r="BB164" s="117" t="s">
        <v>3815</v>
      </c>
      <c r="BC164" s="117" t="s">
        <v>3815</v>
      </c>
      <c r="BD164" s="117" t="s">
        <v>4516</v>
      </c>
      <c r="BE164" s="117" t="s">
        <v>4516</v>
      </c>
      <c r="BF164" s="2"/>
      <c r="BG164" s="3"/>
      <c r="BH164" s="3"/>
      <c r="BI164" s="3"/>
      <c r="BJ164" s="3"/>
    </row>
    <row r="165" spans="1:62" ht="15">
      <c r="A165" s="66" t="s">
        <v>344</v>
      </c>
      <c r="B165" s="67"/>
      <c r="C165" s="67"/>
      <c r="D165" s="68">
        <v>50</v>
      </c>
      <c r="E165" s="70"/>
      <c r="F165" s="105" t="str">
        <f>HYPERLINK("https://yt3.ggpht.com/ytc/AIf8zZRsB0ucWGfUp4Q1HHaj-K8vX4UJZjENArOlyakB-JeltRHPBuwXMLgpKOy3_Ysl=s88-c-k-c0x00ffffff-no-rj")</f>
        <v>https://yt3.ggpht.com/ytc/AIf8zZRsB0ucWGfUp4Q1HHaj-K8vX4UJZjENArOlyakB-JeltRHPBuwXMLgpKOy3_Ysl=s88-c-k-c0x00ffffff-no-rj</v>
      </c>
      <c r="G165" s="67"/>
      <c r="H165" s="71" t="s">
        <v>2573</v>
      </c>
      <c r="I165" s="72"/>
      <c r="J165" s="72" t="s">
        <v>159</v>
      </c>
      <c r="K165" s="71" t="s">
        <v>2573</v>
      </c>
      <c r="L165" s="75">
        <v>1</v>
      </c>
      <c r="M165" s="76">
        <v>4326.3271484375</v>
      </c>
      <c r="N165" s="76">
        <v>1940.2344970703125</v>
      </c>
      <c r="O165" s="77"/>
      <c r="P165" s="78"/>
      <c r="Q165" s="78"/>
      <c r="R165" s="90"/>
      <c r="S165" s="49">
        <v>0</v>
      </c>
      <c r="T165" s="49">
        <v>1</v>
      </c>
      <c r="U165" s="50">
        <v>0</v>
      </c>
      <c r="V165" s="50">
        <v>0.255736</v>
      </c>
      <c r="W165" s="51"/>
      <c r="X165" s="51"/>
      <c r="Y165" s="51"/>
      <c r="Z165" s="50"/>
      <c r="AA165" s="73">
        <v>165</v>
      </c>
      <c r="AB165" s="73"/>
      <c r="AC165" s="74"/>
      <c r="AD165" s="81" t="s">
        <v>2573</v>
      </c>
      <c r="AE165" s="81"/>
      <c r="AF165" s="81"/>
      <c r="AG165" s="81"/>
      <c r="AH165" s="81"/>
      <c r="AI165" s="81" t="s">
        <v>3258</v>
      </c>
      <c r="AJ165" s="88">
        <v>45151.88637731481</v>
      </c>
      <c r="AK165" s="86" t="str">
        <f>HYPERLINK("https://yt3.ggpht.com/ytc/AIf8zZRsB0ucWGfUp4Q1HHaj-K8vX4UJZjENArOlyakB-JeltRHPBuwXMLgpKOy3_Ysl=s88-c-k-c0x00ffffff-no-rj")</f>
        <v>https://yt3.ggpht.com/ytc/AIf8zZRsB0ucWGfUp4Q1HHaj-K8vX4UJZjENArOlyakB-JeltRHPBuwXMLgpKOy3_Ysl=s88-c-k-c0x00ffffff-no-rj</v>
      </c>
      <c r="AL165" s="81">
        <v>0</v>
      </c>
      <c r="AM165" s="81">
        <v>0</v>
      </c>
      <c r="AN165" s="81">
        <v>0</v>
      </c>
      <c r="AO165" s="81" t="b">
        <v>0</v>
      </c>
      <c r="AP165" s="81">
        <v>0</v>
      </c>
      <c r="AQ165" s="81"/>
      <c r="AR165" s="81"/>
      <c r="AS165" s="81" t="s">
        <v>3378</v>
      </c>
      <c r="AT165" s="86" t="str">
        <f>HYPERLINK("https://www.youtube.com/channel/UCoDvNx5toVd-jYsMtURa21A")</f>
        <v>https://www.youtube.com/channel/UCoDvNx5toVd-jYsMtURa21A</v>
      </c>
      <c r="AU165" s="81" t="str">
        <f>REPLACE(INDEX(GroupVertices[Group],MATCH("~"&amp;Vertices[[#This Row],[Vertex]],GroupVertices[Vertex],0)),1,1,"")</f>
        <v>6</v>
      </c>
      <c r="AV165" s="49"/>
      <c r="AW165" s="49"/>
      <c r="AX165" s="49"/>
      <c r="AY165" s="49"/>
      <c r="AZ165" s="49"/>
      <c r="BA165" s="49"/>
      <c r="BB165" s="117" t="s">
        <v>3816</v>
      </c>
      <c r="BC165" s="117" t="s">
        <v>3816</v>
      </c>
      <c r="BD165" s="117" t="s">
        <v>2423</v>
      </c>
      <c r="BE165" s="117" t="s">
        <v>2423</v>
      </c>
      <c r="BF165" s="2"/>
      <c r="BG165" s="3"/>
      <c r="BH165" s="3"/>
      <c r="BI165" s="3"/>
      <c r="BJ165" s="3"/>
    </row>
    <row r="166" spans="1:62" ht="15">
      <c r="A166" s="66" t="s">
        <v>345</v>
      </c>
      <c r="B166" s="67"/>
      <c r="C166" s="67"/>
      <c r="D166" s="68">
        <v>50</v>
      </c>
      <c r="E166" s="70"/>
      <c r="F166" s="105" t="str">
        <f>HYPERLINK("https://yt3.ggpht.com/ytc/AIf8zZRT5gAgYIkSLoGWRMBbQpy7bQNs3O3pAE6qQcDd=s88-c-k-c0x00ffffff-no-rj")</f>
        <v>https://yt3.ggpht.com/ytc/AIf8zZRT5gAgYIkSLoGWRMBbQpy7bQNs3O3pAE6qQcDd=s88-c-k-c0x00ffffff-no-rj</v>
      </c>
      <c r="G166" s="67"/>
      <c r="H166" s="71" t="s">
        <v>2574</v>
      </c>
      <c r="I166" s="72"/>
      <c r="J166" s="72" t="s">
        <v>159</v>
      </c>
      <c r="K166" s="71" t="s">
        <v>2574</v>
      </c>
      <c r="L166" s="75">
        <v>1</v>
      </c>
      <c r="M166" s="76">
        <v>5570.04150390625</v>
      </c>
      <c r="N166" s="76">
        <v>4300.82666015625</v>
      </c>
      <c r="O166" s="77"/>
      <c r="P166" s="78"/>
      <c r="Q166" s="78"/>
      <c r="R166" s="90"/>
      <c r="S166" s="49">
        <v>0</v>
      </c>
      <c r="T166" s="49">
        <v>1</v>
      </c>
      <c r="U166" s="50">
        <v>0</v>
      </c>
      <c r="V166" s="50">
        <v>0.255736</v>
      </c>
      <c r="W166" s="51"/>
      <c r="X166" s="51"/>
      <c r="Y166" s="51"/>
      <c r="Z166" s="50"/>
      <c r="AA166" s="73">
        <v>166</v>
      </c>
      <c r="AB166" s="73"/>
      <c r="AC166" s="74"/>
      <c r="AD166" s="81" t="s">
        <v>2574</v>
      </c>
      <c r="AE166" s="81"/>
      <c r="AF166" s="81"/>
      <c r="AG166" s="81"/>
      <c r="AH166" s="81"/>
      <c r="AI166" s="81" t="s">
        <v>3259</v>
      </c>
      <c r="AJ166" s="88">
        <v>44212.732256944444</v>
      </c>
      <c r="AK166" s="86" t="str">
        <f>HYPERLINK("https://yt3.ggpht.com/ytc/AIf8zZRT5gAgYIkSLoGWRMBbQpy7bQNs3O3pAE6qQcDd=s88-c-k-c0x00ffffff-no-rj")</f>
        <v>https://yt3.ggpht.com/ytc/AIf8zZRT5gAgYIkSLoGWRMBbQpy7bQNs3O3pAE6qQcDd=s88-c-k-c0x00ffffff-no-rj</v>
      </c>
      <c r="AL166" s="81">
        <v>0</v>
      </c>
      <c r="AM166" s="81">
        <v>0</v>
      </c>
      <c r="AN166" s="81">
        <v>1</v>
      </c>
      <c r="AO166" s="81" t="b">
        <v>0</v>
      </c>
      <c r="AP166" s="81">
        <v>0</v>
      </c>
      <c r="AQ166" s="81"/>
      <c r="AR166" s="81"/>
      <c r="AS166" s="81" t="s">
        <v>3378</v>
      </c>
      <c r="AT166" s="86" t="str">
        <f>HYPERLINK("https://www.youtube.com/channel/UCsa7ufR_GdbBcL8QVEzIdOQ")</f>
        <v>https://www.youtube.com/channel/UCsa7ufR_GdbBcL8QVEzIdOQ</v>
      </c>
      <c r="AU166" s="81" t="str">
        <f>REPLACE(INDEX(GroupVertices[Group],MATCH("~"&amp;Vertices[[#This Row],[Vertex]],GroupVertices[Vertex],0)),1,1,"")</f>
        <v>6</v>
      </c>
      <c r="AV166" s="49"/>
      <c r="AW166" s="49"/>
      <c r="AX166" s="49"/>
      <c r="AY166" s="49"/>
      <c r="AZ166" s="49"/>
      <c r="BA166" s="49"/>
      <c r="BB166" s="117" t="s">
        <v>3817</v>
      </c>
      <c r="BC166" s="117" t="s">
        <v>3817</v>
      </c>
      <c r="BD166" s="117" t="s">
        <v>4517</v>
      </c>
      <c r="BE166" s="117" t="s">
        <v>4517</v>
      </c>
      <c r="BF166" s="2"/>
      <c r="BG166" s="3"/>
      <c r="BH166" s="3"/>
      <c r="BI166" s="3"/>
      <c r="BJ166" s="3"/>
    </row>
    <row r="167" spans="1:62" ht="15">
      <c r="A167" s="66" t="s">
        <v>346</v>
      </c>
      <c r="B167" s="67"/>
      <c r="C167" s="67"/>
      <c r="D167" s="68">
        <v>50</v>
      </c>
      <c r="E167" s="70"/>
      <c r="F167" s="105" t="str">
        <f>HYPERLINK("https://yt3.ggpht.com/ytc/AIf8zZQZobLhm6CLCuxvZ419qPueSegWxthrmpGzHmk_7PJmZs54vRHGjuCBil6ubom8=s88-c-k-c0x00ffffff-no-rj")</f>
        <v>https://yt3.ggpht.com/ytc/AIf8zZQZobLhm6CLCuxvZ419qPueSegWxthrmpGzHmk_7PJmZs54vRHGjuCBil6ubom8=s88-c-k-c0x00ffffff-no-rj</v>
      </c>
      <c r="G167" s="67"/>
      <c r="H167" s="71" t="s">
        <v>2575</v>
      </c>
      <c r="I167" s="72"/>
      <c r="J167" s="72" t="s">
        <v>159</v>
      </c>
      <c r="K167" s="71" t="s">
        <v>2575</v>
      </c>
      <c r="L167" s="75">
        <v>1</v>
      </c>
      <c r="M167" s="76">
        <v>3853.117919921875</v>
      </c>
      <c r="N167" s="76">
        <v>2669.658203125</v>
      </c>
      <c r="O167" s="77"/>
      <c r="P167" s="78"/>
      <c r="Q167" s="78"/>
      <c r="R167" s="90"/>
      <c r="S167" s="49">
        <v>0</v>
      </c>
      <c r="T167" s="49">
        <v>1</v>
      </c>
      <c r="U167" s="50">
        <v>0</v>
      </c>
      <c r="V167" s="50">
        <v>0.255736</v>
      </c>
      <c r="W167" s="51"/>
      <c r="X167" s="51"/>
      <c r="Y167" s="51"/>
      <c r="Z167" s="50"/>
      <c r="AA167" s="73">
        <v>167</v>
      </c>
      <c r="AB167" s="73"/>
      <c r="AC167" s="74"/>
      <c r="AD167" s="81" t="s">
        <v>2575</v>
      </c>
      <c r="AE167" s="81"/>
      <c r="AF167" s="81"/>
      <c r="AG167" s="81"/>
      <c r="AH167" s="81"/>
      <c r="AI167" s="81" t="s">
        <v>1812</v>
      </c>
      <c r="AJ167" s="88">
        <v>45137.22813657407</v>
      </c>
      <c r="AK167" s="86" t="str">
        <f>HYPERLINK("https://yt3.ggpht.com/ytc/AIf8zZQZobLhm6CLCuxvZ419qPueSegWxthrmpGzHmk_7PJmZs54vRHGjuCBil6ubom8=s88-c-k-c0x00ffffff-no-rj")</f>
        <v>https://yt3.ggpht.com/ytc/AIf8zZQZobLhm6CLCuxvZ419qPueSegWxthrmpGzHmk_7PJmZs54vRHGjuCBil6ubom8=s88-c-k-c0x00ffffff-no-rj</v>
      </c>
      <c r="AL167" s="81">
        <v>0</v>
      </c>
      <c r="AM167" s="81">
        <v>0</v>
      </c>
      <c r="AN167" s="81">
        <v>16</v>
      </c>
      <c r="AO167" s="81" t="b">
        <v>0</v>
      </c>
      <c r="AP167" s="81">
        <v>0</v>
      </c>
      <c r="AQ167" s="81"/>
      <c r="AR167" s="81"/>
      <c r="AS167" s="81" t="s">
        <v>3378</v>
      </c>
      <c r="AT167" s="86" t="str">
        <f>HYPERLINK("https://www.youtube.com/channel/UC1pAg-4zbxj2X8r_Ar_kv0Q")</f>
        <v>https://www.youtube.com/channel/UC1pAg-4zbxj2X8r_Ar_kv0Q</v>
      </c>
      <c r="AU167" s="81" t="str">
        <f>REPLACE(INDEX(GroupVertices[Group],MATCH("~"&amp;Vertices[[#This Row],[Vertex]],GroupVertices[Vertex],0)),1,1,"")</f>
        <v>6</v>
      </c>
      <c r="AV167" s="49"/>
      <c r="AW167" s="49"/>
      <c r="AX167" s="49"/>
      <c r="AY167" s="49"/>
      <c r="AZ167" s="49"/>
      <c r="BA167" s="49"/>
      <c r="BB167" s="117" t="s">
        <v>3818</v>
      </c>
      <c r="BC167" s="117" t="s">
        <v>3818</v>
      </c>
      <c r="BD167" s="117" t="s">
        <v>2423</v>
      </c>
      <c r="BE167" s="117" t="s">
        <v>2423</v>
      </c>
      <c r="BF167" s="2"/>
      <c r="BG167" s="3"/>
      <c r="BH167" s="3"/>
      <c r="BI167" s="3"/>
      <c r="BJ167" s="3"/>
    </row>
    <row r="168" spans="1:62" ht="15">
      <c r="A168" s="66" t="s">
        <v>347</v>
      </c>
      <c r="B168" s="67"/>
      <c r="C168" s="67"/>
      <c r="D168" s="68">
        <v>50</v>
      </c>
      <c r="E168" s="70"/>
      <c r="F168" s="105" t="str">
        <f>HYPERLINK("https://yt3.ggpht.com/mKI6M5JZNwxmANLuFuN__WKNs2nA9YkJuSC_s03NJBliFsNrrWqiGDN9fZUndEC2f1j5oPFa=s88-c-k-c0x00ffffff-no-rj")</f>
        <v>https://yt3.ggpht.com/mKI6M5JZNwxmANLuFuN__WKNs2nA9YkJuSC_s03NJBliFsNrrWqiGDN9fZUndEC2f1j5oPFa=s88-c-k-c0x00ffffff-no-rj</v>
      </c>
      <c r="G168" s="67"/>
      <c r="H168" s="71" t="s">
        <v>2576</v>
      </c>
      <c r="I168" s="72"/>
      <c r="J168" s="72" t="s">
        <v>159</v>
      </c>
      <c r="K168" s="71" t="s">
        <v>2576</v>
      </c>
      <c r="L168" s="75">
        <v>1</v>
      </c>
      <c r="M168" s="76">
        <v>5403.23681640625</v>
      </c>
      <c r="N168" s="76">
        <v>1849.8017578125</v>
      </c>
      <c r="O168" s="77"/>
      <c r="P168" s="78"/>
      <c r="Q168" s="78"/>
      <c r="R168" s="90"/>
      <c r="S168" s="49">
        <v>0</v>
      </c>
      <c r="T168" s="49">
        <v>1</v>
      </c>
      <c r="U168" s="50">
        <v>0</v>
      </c>
      <c r="V168" s="50">
        <v>0.255736</v>
      </c>
      <c r="W168" s="51"/>
      <c r="X168" s="51"/>
      <c r="Y168" s="51"/>
      <c r="Z168" s="50"/>
      <c r="AA168" s="73">
        <v>168</v>
      </c>
      <c r="AB168" s="73"/>
      <c r="AC168" s="74"/>
      <c r="AD168" s="81" t="s">
        <v>2576</v>
      </c>
      <c r="AE168" s="81"/>
      <c r="AF168" s="81"/>
      <c r="AG168" s="81"/>
      <c r="AH168" s="81"/>
      <c r="AI168" s="81" t="s">
        <v>3260</v>
      </c>
      <c r="AJ168" s="88">
        <v>45022.24543981482</v>
      </c>
      <c r="AK168" s="86" t="str">
        <f>HYPERLINK("https://yt3.ggpht.com/mKI6M5JZNwxmANLuFuN__WKNs2nA9YkJuSC_s03NJBliFsNrrWqiGDN9fZUndEC2f1j5oPFa=s88-c-k-c0x00ffffff-no-rj")</f>
        <v>https://yt3.ggpht.com/mKI6M5JZNwxmANLuFuN__WKNs2nA9YkJuSC_s03NJBliFsNrrWqiGDN9fZUndEC2f1j5oPFa=s88-c-k-c0x00ffffff-no-rj</v>
      </c>
      <c r="AL168" s="81">
        <v>429</v>
      </c>
      <c r="AM168" s="81">
        <v>0</v>
      </c>
      <c r="AN168" s="81">
        <v>4</v>
      </c>
      <c r="AO168" s="81" t="b">
        <v>0</v>
      </c>
      <c r="AP168" s="81">
        <v>24</v>
      </c>
      <c r="AQ168" s="81"/>
      <c r="AR168" s="81"/>
      <c r="AS168" s="81" t="s">
        <v>3378</v>
      </c>
      <c r="AT168" s="86" t="str">
        <f>HYPERLINK("https://www.youtube.com/channel/UC9EMSPcvVnMmkXO8j47f8uA")</f>
        <v>https://www.youtube.com/channel/UC9EMSPcvVnMmkXO8j47f8uA</v>
      </c>
      <c r="AU168" s="81" t="str">
        <f>REPLACE(INDEX(GroupVertices[Group],MATCH("~"&amp;Vertices[[#This Row],[Vertex]],GroupVertices[Vertex],0)),1,1,"")</f>
        <v>6</v>
      </c>
      <c r="AV168" s="49"/>
      <c r="AW168" s="49"/>
      <c r="AX168" s="49"/>
      <c r="AY168" s="49"/>
      <c r="AZ168" s="49"/>
      <c r="BA168" s="49"/>
      <c r="BB168" s="117" t="s">
        <v>3819</v>
      </c>
      <c r="BC168" s="117" t="s">
        <v>3819</v>
      </c>
      <c r="BD168" s="117" t="s">
        <v>4518</v>
      </c>
      <c r="BE168" s="117" t="s">
        <v>4518</v>
      </c>
      <c r="BF168" s="2"/>
      <c r="BG168" s="3"/>
      <c r="BH168" s="3"/>
      <c r="BI168" s="3"/>
      <c r="BJ168" s="3"/>
    </row>
    <row r="169" spans="1:62" ht="15">
      <c r="A169" s="66" t="s">
        <v>348</v>
      </c>
      <c r="B169" s="67"/>
      <c r="C169" s="67"/>
      <c r="D169" s="68">
        <v>50</v>
      </c>
      <c r="E169" s="70"/>
      <c r="F169" s="105" t="str">
        <f>HYPERLINK("https://yt3.ggpht.com/ytc/AIf8zZQPzn6SspgDZVHWdjA4awj_p4pLfCKMnAZLRcHQ=s88-c-k-c0x00ffffff-no-rj")</f>
        <v>https://yt3.ggpht.com/ytc/AIf8zZQPzn6SspgDZVHWdjA4awj_p4pLfCKMnAZLRcHQ=s88-c-k-c0x00ffffff-no-rj</v>
      </c>
      <c r="G169" s="67"/>
      <c r="H169" s="71" t="s">
        <v>2577</v>
      </c>
      <c r="I169" s="72"/>
      <c r="J169" s="72" t="s">
        <v>159</v>
      </c>
      <c r="K169" s="71" t="s">
        <v>2577</v>
      </c>
      <c r="L169" s="75">
        <v>1</v>
      </c>
      <c r="M169" s="76">
        <v>4017.921630859375</v>
      </c>
      <c r="N169" s="76">
        <v>2840.144775390625</v>
      </c>
      <c r="O169" s="77"/>
      <c r="P169" s="78"/>
      <c r="Q169" s="78"/>
      <c r="R169" s="90"/>
      <c r="S169" s="49">
        <v>0</v>
      </c>
      <c r="T169" s="49">
        <v>1</v>
      </c>
      <c r="U169" s="50">
        <v>0</v>
      </c>
      <c r="V169" s="50">
        <v>0.255736</v>
      </c>
      <c r="W169" s="51"/>
      <c r="X169" s="51"/>
      <c r="Y169" s="51"/>
      <c r="Z169" s="50"/>
      <c r="AA169" s="73">
        <v>169</v>
      </c>
      <c r="AB169" s="73"/>
      <c r="AC169" s="74"/>
      <c r="AD169" s="81" t="s">
        <v>2577</v>
      </c>
      <c r="AE169" s="81"/>
      <c r="AF169" s="81"/>
      <c r="AG169" s="81"/>
      <c r="AH169" s="81"/>
      <c r="AI169" s="81" t="s">
        <v>1814</v>
      </c>
      <c r="AJ169" s="88">
        <v>43216.84756944444</v>
      </c>
      <c r="AK169" s="86" t="str">
        <f>HYPERLINK("https://yt3.ggpht.com/ytc/AIf8zZQPzn6SspgDZVHWdjA4awj_p4pLfCKMnAZLRcHQ=s88-c-k-c0x00ffffff-no-rj")</f>
        <v>https://yt3.ggpht.com/ytc/AIf8zZQPzn6SspgDZVHWdjA4awj_p4pLfCKMnAZLRcHQ=s88-c-k-c0x00ffffff-no-rj</v>
      </c>
      <c r="AL169" s="81">
        <v>0</v>
      </c>
      <c r="AM169" s="81">
        <v>0</v>
      </c>
      <c r="AN169" s="81">
        <v>7</v>
      </c>
      <c r="AO169" s="81" t="b">
        <v>0</v>
      </c>
      <c r="AP169" s="81">
        <v>0</v>
      </c>
      <c r="AQ169" s="81"/>
      <c r="AR169" s="81"/>
      <c r="AS169" s="81" t="s">
        <v>3378</v>
      </c>
      <c r="AT169" s="86" t="str">
        <f>HYPERLINK("https://www.youtube.com/channel/UCTt3dKQ0s6UMtLAzp7-DLTA")</f>
        <v>https://www.youtube.com/channel/UCTt3dKQ0s6UMtLAzp7-DLTA</v>
      </c>
      <c r="AU169" s="81" t="str">
        <f>REPLACE(INDEX(GroupVertices[Group],MATCH("~"&amp;Vertices[[#This Row],[Vertex]],GroupVertices[Vertex],0)),1,1,"")</f>
        <v>6</v>
      </c>
      <c r="AV169" s="49"/>
      <c r="AW169" s="49"/>
      <c r="AX169" s="49"/>
      <c r="AY169" s="49"/>
      <c r="AZ169" s="49"/>
      <c r="BA169" s="49"/>
      <c r="BB169" s="117" t="s">
        <v>3820</v>
      </c>
      <c r="BC169" s="117" t="s">
        <v>3820</v>
      </c>
      <c r="BD169" s="117" t="s">
        <v>4519</v>
      </c>
      <c r="BE169" s="117" t="s">
        <v>4519</v>
      </c>
      <c r="BF169" s="2"/>
      <c r="BG169" s="3"/>
      <c r="BH169" s="3"/>
      <c r="BI169" s="3"/>
      <c r="BJ169" s="3"/>
    </row>
    <row r="170" spans="1:62" ht="15">
      <c r="A170" s="66" t="s">
        <v>349</v>
      </c>
      <c r="B170" s="67"/>
      <c r="C170" s="67"/>
      <c r="D170" s="68">
        <v>50</v>
      </c>
      <c r="E170" s="70"/>
      <c r="F170" s="105" t="str">
        <f>HYPERLINK("https://yt3.ggpht.com/ytc/AIf8zZRc7EaBvkzts7he4zsvx31K4cuik7u8ugNa5v39L50uFs_unV51fs4ZeSFQDMq9=s88-c-k-c0x00ffffff-no-rj")</f>
        <v>https://yt3.ggpht.com/ytc/AIf8zZRc7EaBvkzts7he4zsvx31K4cuik7u8ugNa5v39L50uFs_unV51fs4ZeSFQDMq9=s88-c-k-c0x00ffffff-no-rj</v>
      </c>
      <c r="G170" s="67"/>
      <c r="H170" s="71" t="s">
        <v>2578</v>
      </c>
      <c r="I170" s="72"/>
      <c r="J170" s="72" t="s">
        <v>159</v>
      </c>
      <c r="K170" s="71" t="s">
        <v>2578</v>
      </c>
      <c r="L170" s="75">
        <v>1</v>
      </c>
      <c r="M170" s="76">
        <v>5576.0576171875</v>
      </c>
      <c r="N170" s="76">
        <v>768.7493286132812</v>
      </c>
      <c r="O170" s="77"/>
      <c r="P170" s="78"/>
      <c r="Q170" s="78"/>
      <c r="R170" s="90"/>
      <c r="S170" s="49">
        <v>0</v>
      </c>
      <c r="T170" s="49">
        <v>1</v>
      </c>
      <c r="U170" s="50">
        <v>0</v>
      </c>
      <c r="V170" s="50">
        <v>0.255736</v>
      </c>
      <c r="W170" s="51"/>
      <c r="X170" s="51"/>
      <c r="Y170" s="51"/>
      <c r="Z170" s="50"/>
      <c r="AA170" s="73">
        <v>170</v>
      </c>
      <c r="AB170" s="73"/>
      <c r="AC170" s="74"/>
      <c r="AD170" s="81" t="s">
        <v>2578</v>
      </c>
      <c r="AE170" s="81"/>
      <c r="AF170" s="81"/>
      <c r="AG170" s="81"/>
      <c r="AH170" s="81"/>
      <c r="AI170" s="81" t="s">
        <v>1815</v>
      </c>
      <c r="AJ170" s="88">
        <v>44818.57173611111</v>
      </c>
      <c r="AK170" s="86" t="str">
        <f>HYPERLINK("https://yt3.ggpht.com/ytc/AIf8zZRc7EaBvkzts7he4zsvx31K4cuik7u8ugNa5v39L50uFs_unV51fs4ZeSFQDMq9=s88-c-k-c0x00ffffff-no-rj")</f>
        <v>https://yt3.ggpht.com/ytc/AIf8zZRc7EaBvkzts7he4zsvx31K4cuik7u8ugNa5v39L50uFs_unV51fs4ZeSFQDMq9=s88-c-k-c0x00ffffff-no-rj</v>
      </c>
      <c r="AL170" s="81">
        <v>0</v>
      </c>
      <c r="AM170" s="81">
        <v>0</v>
      </c>
      <c r="AN170" s="81">
        <v>0</v>
      </c>
      <c r="AO170" s="81" t="b">
        <v>0</v>
      </c>
      <c r="AP170" s="81">
        <v>0</v>
      </c>
      <c r="AQ170" s="81"/>
      <c r="AR170" s="81"/>
      <c r="AS170" s="81" t="s">
        <v>3378</v>
      </c>
      <c r="AT170" s="86" t="str">
        <f>HYPERLINK("https://www.youtube.com/channel/UCnLDyDybtcRySusa6e7mvKg")</f>
        <v>https://www.youtube.com/channel/UCnLDyDybtcRySusa6e7mvKg</v>
      </c>
      <c r="AU170" s="81" t="str">
        <f>REPLACE(INDEX(GroupVertices[Group],MATCH("~"&amp;Vertices[[#This Row],[Vertex]],GroupVertices[Vertex],0)),1,1,"")</f>
        <v>6</v>
      </c>
      <c r="AV170" s="49"/>
      <c r="AW170" s="49"/>
      <c r="AX170" s="49"/>
      <c r="AY170" s="49"/>
      <c r="AZ170" s="49"/>
      <c r="BA170" s="49"/>
      <c r="BB170" s="117" t="s">
        <v>3821</v>
      </c>
      <c r="BC170" s="117" t="s">
        <v>3821</v>
      </c>
      <c r="BD170" s="117" t="s">
        <v>4520</v>
      </c>
      <c r="BE170" s="117" t="s">
        <v>4520</v>
      </c>
      <c r="BF170" s="2"/>
      <c r="BG170" s="3"/>
      <c r="BH170" s="3"/>
      <c r="BI170" s="3"/>
      <c r="BJ170" s="3"/>
    </row>
    <row r="171" spans="1:62" ht="15">
      <c r="A171" s="66" t="s">
        <v>350</v>
      </c>
      <c r="B171" s="67"/>
      <c r="C171" s="67"/>
      <c r="D171" s="68">
        <v>50</v>
      </c>
      <c r="E171" s="70"/>
      <c r="F171" s="105" t="str">
        <f>HYPERLINK("https://yt3.ggpht.com/ytc/AIf8zZRUG3-nIDq9Aa3TOosTz8VzcjADEY_i4TY3eYUMUtRuafz3WYhsP8CEmaganYHk=s88-c-k-c0x00ffffff-no-rj")</f>
        <v>https://yt3.ggpht.com/ytc/AIf8zZRUG3-nIDq9Aa3TOosTz8VzcjADEY_i4TY3eYUMUtRuafz3WYhsP8CEmaganYHk=s88-c-k-c0x00ffffff-no-rj</v>
      </c>
      <c r="G171" s="67"/>
      <c r="H171" s="71" t="s">
        <v>2579</v>
      </c>
      <c r="I171" s="72"/>
      <c r="J171" s="72" t="s">
        <v>159</v>
      </c>
      <c r="K171" s="71" t="s">
        <v>2579</v>
      </c>
      <c r="L171" s="75">
        <v>1</v>
      </c>
      <c r="M171" s="76">
        <v>5818.2734375</v>
      </c>
      <c r="N171" s="76">
        <v>1384.732421875</v>
      </c>
      <c r="O171" s="77"/>
      <c r="P171" s="78"/>
      <c r="Q171" s="78"/>
      <c r="R171" s="90"/>
      <c r="S171" s="49">
        <v>0</v>
      </c>
      <c r="T171" s="49">
        <v>1</v>
      </c>
      <c r="U171" s="50">
        <v>0</v>
      </c>
      <c r="V171" s="50">
        <v>0.255736</v>
      </c>
      <c r="W171" s="51"/>
      <c r="X171" s="51"/>
      <c r="Y171" s="51"/>
      <c r="Z171" s="50"/>
      <c r="AA171" s="73">
        <v>171</v>
      </c>
      <c r="AB171" s="73"/>
      <c r="AC171" s="74"/>
      <c r="AD171" s="81" t="s">
        <v>2579</v>
      </c>
      <c r="AE171" s="81"/>
      <c r="AF171" s="81"/>
      <c r="AG171" s="81"/>
      <c r="AH171" s="81"/>
      <c r="AI171" s="81" t="s">
        <v>1816</v>
      </c>
      <c r="AJ171" s="88">
        <v>44539.31416666666</v>
      </c>
      <c r="AK171" s="86" t="str">
        <f>HYPERLINK("https://yt3.ggpht.com/ytc/AIf8zZRUG3-nIDq9Aa3TOosTz8VzcjADEY_i4TY3eYUMUtRuafz3WYhsP8CEmaganYHk=s88-c-k-c0x00ffffff-no-rj")</f>
        <v>https://yt3.ggpht.com/ytc/AIf8zZRUG3-nIDq9Aa3TOosTz8VzcjADEY_i4TY3eYUMUtRuafz3WYhsP8CEmaganYHk=s88-c-k-c0x00ffffff-no-rj</v>
      </c>
      <c r="AL171" s="81">
        <v>0</v>
      </c>
      <c r="AM171" s="81">
        <v>0</v>
      </c>
      <c r="AN171" s="81">
        <v>0</v>
      </c>
      <c r="AO171" s="81" t="b">
        <v>0</v>
      </c>
      <c r="AP171" s="81">
        <v>0</v>
      </c>
      <c r="AQ171" s="81"/>
      <c r="AR171" s="81"/>
      <c r="AS171" s="81" t="s">
        <v>3378</v>
      </c>
      <c r="AT171" s="86" t="str">
        <f>HYPERLINK("https://www.youtube.com/channel/UCqQcN29mLdvlwDd4TFEzsoA")</f>
        <v>https://www.youtube.com/channel/UCqQcN29mLdvlwDd4TFEzsoA</v>
      </c>
      <c r="AU171" s="81" t="str">
        <f>REPLACE(INDEX(GroupVertices[Group],MATCH("~"&amp;Vertices[[#This Row],[Vertex]],GroupVertices[Vertex],0)),1,1,"")</f>
        <v>6</v>
      </c>
      <c r="AV171" s="49"/>
      <c r="AW171" s="49"/>
      <c r="AX171" s="49"/>
      <c r="AY171" s="49"/>
      <c r="AZ171" s="49"/>
      <c r="BA171" s="49"/>
      <c r="BB171" s="117" t="s">
        <v>3822</v>
      </c>
      <c r="BC171" s="117" t="s">
        <v>3822</v>
      </c>
      <c r="BD171" s="117" t="s">
        <v>4521</v>
      </c>
      <c r="BE171" s="117" t="s">
        <v>4521</v>
      </c>
      <c r="BF171" s="2"/>
      <c r="BG171" s="3"/>
      <c r="BH171" s="3"/>
      <c r="BI171" s="3"/>
      <c r="BJ171" s="3"/>
    </row>
    <row r="172" spans="1:62" ht="15">
      <c r="A172" s="66" t="s">
        <v>351</v>
      </c>
      <c r="B172" s="67"/>
      <c r="C172" s="67"/>
      <c r="D172" s="68">
        <v>50</v>
      </c>
      <c r="E172" s="70"/>
      <c r="F172" s="105" t="str">
        <f>HYPERLINK("https://yt3.ggpht.com/ygjN6mIU0sha5vjj-IX3zl97m8JWEn_-JPqzyM-m5iTgTAmyVhbcHy03182hCjjbepzVmLUcag=s88-c-k-c0x00ffffff-no-rj")</f>
        <v>https://yt3.ggpht.com/ygjN6mIU0sha5vjj-IX3zl97m8JWEn_-JPqzyM-m5iTgTAmyVhbcHy03182hCjjbepzVmLUcag=s88-c-k-c0x00ffffff-no-rj</v>
      </c>
      <c r="G172" s="67"/>
      <c r="H172" s="71" t="s">
        <v>2580</v>
      </c>
      <c r="I172" s="72"/>
      <c r="J172" s="72" t="s">
        <v>159</v>
      </c>
      <c r="K172" s="71" t="s">
        <v>2580</v>
      </c>
      <c r="L172" s="75">
        <v>1</v>
      </c>
      <c r="M172" s="76">
        <v>5546.66552734375</v>
      </c>
      <c r="N172" s="76">
        <v>2849.83154296875</v>
      </c>
      <c r="O172" s="77"/>
      <c r="P172" s="78"/>
      <c r="Q172" s="78"/>
      <c r="R172" s="90"/>
      <c r="S172" s="49">
        <v>0</v>
      </c>
      <c r="T172" s="49">
        <v>1</v>
      </c>
      <c r="U172" s="50">
        <v>0</v>
      </c>
      <c r="V172" s="50">
        <v>0.255736</v>
      </c>
      <c r="W172" s="51"/>
      <c r="X172" s="51"/>
      <c r="Y172" s="51"/>
      <c r="Z172" s="50"/>
      <c r="AA172" s="73">
        <v>172</v>
      </c>
      <c r="AB172" s="73"/>
      <c r="AC172" s="74"/>
      <c r="AD172" s="81" t="s">
        <v>2580</v>
      </c>
      <c r="AE172" s="81" t="s">
        <v>3154</v>
      </c>
      <c r="AF172" s="81"/>
      <c r="AG172" s="81"/>
      <c r="AH172" s="81"/>
      <c r="AI172" s="81" t="s">
        <v>1817</v>
      </c>
      <c r="AJ172" s="88">
        <v>44766.252916666665</v>
      </c>
      <c r="AK172" s="86" t="str">
        <f>HYPERLINK("https://yt3.ggpht.com/ygjN6mIU0sha5vjj-IX3zl97m8JWEn_-JPqzyM-m5iTgTAmyVhbcHy03182hCjjbepzVmLUcag=s88-c-k-c0x00ffffff-no-rj")</f>
        <v>https://yt3.ggpht.com/ygjN6mIU0sha5vjj-IX3zl97m8JWEn_-JPqzyM-m5iTgTAmyVhbcHy03182hCjjbepzVmLUcag=s88-c-k-c0x00ffffff-no-rj</v>
      </c>
      <c r="AL172" s="81">
        <v>328</v>
      </c>
      <c r="AM172" s="81">
        <v>0</v>
      </c>
      <c r="AN172" s="81">
        <v>8</v>
      </c>
      <c r="AO172" s="81" t="b">
        <v>0</v>
      </c>
      <c r="AP172" s="81">
        <v>43</v>
      </c>
      <c r="AQ172" s="81"/>
      <c r="AR172" s="81"/>
      <c r="AS172" s="81" t="s">
        <v>3378</v>
      </c>
      <c r="AT172" s="86" t="str">
        <f>HYPERLINK("https://www.youtube.com/channel/UCl9Ia-paiXXFgFNkjkW7vYQ")</f>
        <v>https://www.youtube.com/channel/UCl9Ia-paiXXFgFNkjkW7vYQ</v>
      </c>
      <c r="AU172" s="81" t="str">
        <f>REPLACE(INDEX(GroupVertices[Group],MATCH("~"&amp;Vertices[[#This Row],[Vertex]],GroupVertices[Vertex],0)),1,1,"")</f>
        <v>6</v>
      </c>
      <c r="AV172" s="49"/>
      <c r="AW172" s="49"/>
      <c r="AX172" s="49"/>
      <c r="AY172" s="49"/>
      <c r="AZ172" s="49"/>
      <c r="BA172" s="49"/>
      <c r="BB172" s="117" t="s">
        <v>3823</v>
      </c>
      <c r="BC172" s="117" t="s">
        <v>3823</v>
      </c>
      <c r="BD172" s="117" t="s">
        <v>2423</v>
      </c>
      <c r="BE172" s="117" t="s">
        <v>2423</v>
      </c>
      <c r="BF172" s="2"/>
      <c r="BG172" s="3"/>
      <c r="BH172" s="3"/>
      <c r="BI172" s="3"/>
      <c r="BJ172" s="3"/>
    </row>
    <row r="173" spans="1:62" ht="15">
      <c r="A173" s="66" t="s">
        <v>352</v>
      </c>
      <c r="B173" s="67"/>
      <c r="C173" s="67"/>
      <c r="D173" s="68">
        <v>50</v>
      </c>
      <c r="E173" s="70"/>
      <c r="F173" s="105" t="str">
        <f>HYPERLINK("https://yt3.ggpht.com/ytc/AIf8zZTaThfUBfqwb958JiqOlnTpdsJRY84Auzc9DH4S=s88-c-k-c0x00ffffff-no-rj")</f>
        <v>https://yt3.ggpht.com/ytc/AIf8zZTaThfUBfqwb958JiqOlnTpdsJRY84Auzc9DH4S=s88-c-k-c0x00ffffff-no-rj</v>
      </c>
      <c r="G173" s="67"/>
      <c r="H173" s="71" t="s">
        <v>2581</v>
      </c>
      <c r="I173" s="72"/>
      <c r="J173" s="72" t="s">
        <v>159</v>
      </c>
      <c r="K173" s="71" t="s">
        <v>2581</v>
      </c>
      <c r="L173" s="75">
        <v>1</v>
      </c>
      <c r="M173" s="76">
        <v>8169.9111328125</v>
      </c>
      <c r="N173" s="76">
        <v>5791.17822265625</v>
      </c>
      <c r="O173" s="77"/>
      <c r="P173" s="78"/>
      <c r="Q173" s="78"/>
      <c r="R173" s="90"/>
      <c r="S173" s="49">
        <v>0</v>
      </c>
      <c r="T173" s="49">
        <v>1</v>
      </c>
      <c r="U173" s="50">
        <v>0</v>
      </c>
      <c r="V173" s="50">
        <v>0.220844</v>
      </c>
      <c r="W173" s="51"/>
      <c r="X173" s="51"/>
      <c r="Y173" s="51"/>
      <c r="Z173" s="50"/>
      <c r="AA173" s="73">
        <v>173</v>
      </c>
      <c r="AB173" s="73"/>
      <c r="AC173" s="74"/>
      <c r="AD173" s="81" t="s">
        <v>2581</v>
      </c>
      <c r="AE173" s="81"/>
      <c r="AF173" s="81"/>
      <c r="AG173" s="81"/>
      <c r="AH173" s="81"/>
      <c r="AI173" s="81" t="s">
        <v>1818</v>
      </c>
      <c r="AJ173" s="88">
        <v>41605.08505787037</v>
      </c>
      <c r="AK173" s="86" t="str">
        <f>HYPERLINK("https://yt3.ggpht.com/ytc/AIf8zZTaThfUBfqwb958JiqOlnTpdsJRY84Auzc9DH4S=s88-c-k-c0x00ffffff-no-rj")</f>
        <v>https://yt3.ggpht.com/ytc/AIf8zZTaThfUBfqwb958JiqOlnTpdsJRY84Auzc9DH4S=s88-c-k-c0x00ffffff-no-rj</v>
      </c>
      <c r="AL173" s="81">
        <v>0</v>
      </c>
      <c r="AM173" s="81">
        <v>0</v>
      </c>
      <c r="AN173" s="81">
        <v>2</v>
      </c>
      <c r="AO173" s="81" t="b">
        <v>0</v>
      </c>
      <c r="AP173" s="81">
        <v>0</v>
      </c>
      <c r="AQ173" s="81"/>
      <c r="AR173" s="81"/>
      <c r="AS173" s="81" t="s">
        <v>3378</v>
      </c>
      <c r="AT173" s="86" t="str">
        <f>HYPERLINK("https://www.youtube.com/channel/UCCjw2_07e3cNGV2-FZ8PKpw")</f>
        <v>https://www.youtube.com/channel/UCCjw2_07e3cNGV2-FZ8PKpw</v>
      </c>
      <c r="AU173" s="81" t="str">
        <f>REPLACE(INDEX(GroupVertices[Group],MATCH("~"&amp;Vertices[[#This Row],[Vertex]],GroupVertices[Vertex],0)),1,1,"")</f>
        <v>4</v>
      </c>
      <c r="AV173" s="49"/>
      <c r="AW173" s="49"/>
      <c r="AX173" s="49"/>
      <c r="AY173" s="49"/>
      <c r="AZ173" s="49"/>
      <c r="BA173" s="49"/>
      <c r="BB173" s="117" t="s">
        <v>3824</v>
      </c>
      <c r="BC173" s="117" t="s">
        <v>3824</v>
      </c>
      <c r="BD173" s="117" t="s">
        <v>4522</v>
      </c>
      <c r="BE173" s="117" t="s">
        <v>4522</v>
      </c>
      <c r="BF173" s="2"/>
      <c r="BG173" s="3"/>
      <c r="BH173" s="3"/>
      <c r="BI173" s="3"/>
      <c r="BJ173" s="3"/>
    </row>
    <row r="174" spans="1:62" ht="15">
      <c r="A174" s="66" t="s">
        <v>353</v>
      </c>
      <c r="B174" s="67"/>
      <c r="C174" s="67"/>
      <c r="D174" s="68">
        <v>50</v>
      </c>
      <c r="E174" s="70"/>
      <c r="F174" s="105" t="str">
        <f>HYPERLINK("https://yt3.ggpht.com/BNHjXOkLQDhAFzCpr_LRu4m79RZYCa6TBQ0_QJ59W3-1pbR739L9OHota7PhI2p_KNMoBdNa=s88-c-k-c0x00ffffff-no-rj")</f>
        <v>https://yt3.ggpht.com/BNHjXOkLQDhAFzCpr_LRu4m79RZYCa6TBQ0_QJ59W3-1pbR739L9OHota7PhI2p_KNMoBdNa=s88-c-k-c0x00ffffff-no-rj</v>
      </c>
      <c r="G174" s="67"/>
      <c r="H174" s="71" t="s">
        <v>2583</v>
      </c>
      <c r="I174" s="72"/>
      <c r="J174" s="72" t="s">
        <v>159</v>
      </c>
      <c r="K174" s="71" t="s">
        <v>2583</v>
      </c>
      <c r="L174" s="75">
        <v>1</v>
      </c>
      <c r="M174" s="76">
        <v>8173.03466796875</v>
      </c>
      <c r="N174" s="76">
        <v>6138.7060546875</v>
      </c>
      <c r="O174" s="77"/>
      <c r="P174" s="78"/>
      <c r="Q174" s="78"/>
      <c r="R174" s="90"/>
      <c r="S174" s="49">
        <v>0</v>
      </c>
      <c r="T174" s="49">
        <v>1</v>
      </c>
      <c r="U174" s="50">
        <v>0</v>
      </c>
      <c r="V174" s="50">
        <v>0.220844</v>
      </c>
      <c r="W174" s="51"/>
      <c r="X174" s="51"/>
      <c r="Y174" s="51"/>
      <c r="Z174" s="50"/>
      <c r="AA174" s="73">
        <v>174</v>
      </c>
      <c r="AB174" s="73"/>
      <c r="AC174" s="74"/>
      <c r="AD174" s="81" t="s">
        <v>2583</v>
      </c>
      <c r="AE174" s="81" t="s">
        <v>3156</v>
      </c>
      <c r="AF174" s="81"/>
      <c r="AG174" s="81"/>
      <c r="AH174" s="81"/>
      <c r="AI174" s="81" t="s">
        <v>3262</v>
      </c>
      <c r="AJ174" s="88">
        <v>39095.846724537034</v>
      </c>
      <c r="AK174" s="86" t="str">
        <f>HYPERLINK("https://yt3.ggpht.com/BNHjXOkLQDhAFzCpr_LRu4m79RZYCa6TBQ0_QJ59W3-1pbR739L9OHota7PhI2p_KNMoBdNa=s88-c-k-c0x00ffffff-no-rj")</f>
        <v>https://yt3.ggpht.com/BNHjXOkLQDhAFzCpr_LRu4m79RZYCa6TBQ0_QJ59W3-1pbR739L9OHota7PhI2p_KNMoBdNa=s88-c-k-c0x00ffffff-no-rj</v>
      </c>
      <c r="AL174" s="81">
        <v>8907</v>
      </c>
      <c r="AM174" s="81">
        <v>0</v>
      </c>
      <c r="AN174" s="81">
        <v>788</v>
      </c>
      <c r="AO174" s="81" t="b">
        <v>0</v>
      </c>
      <c r="AP174" s="81">
        <v>29</v>
      </c>
      <c r="AQ174" s="81"/>
      <c r="AR174" s="81"/>
      <c r="AS174" s="81" t="s">
        <v>3378</v>
      </c>
      <c r="AT174" s="86" t="str">
        <f>HYPERLINK("https://www.youtube.com/channel/UC1I97o_F81HBd38njELb67g")</f>
        <v>https://www.youtube.com/channel/UC1I97o_F81HBd38njELb67g</v>
      </c>
      <c r="AU174" s="81" t="str">
        <f>REPLACE(INDEX(GroupVertices[Group],MATCH("~"&amp;Vertices[[#This Row],[Vertex]],GroupVertices[Vertex],0)),1,1,"")</f>
        <v>4</v>
      </c>
      <c r="AV174" s="49"/>
      <c r="AW174" s="49"/>
      <c r="AX174" s="49"/>
      <c r="AY174" s="49"/>
      <c r="AZ174" s="49"/>
      <c r="BA174" s="49"/>
      <c r="BB174" s="117" t="s">
        <v>3825</v>
      </c>
      <c r="BC174" s="117" t="s">
        <v>3825</v>
      </c>
      <c r="BD174" s="117" t="s">
        <v>4523</v>
      </c>
      <c r="BE174" s="117" t="s">
        <v>4523</v>
      </c>
      <c r="BF174" s="2"/>
      <c r="BG174" s="3"/>
      <c r="BH174" s="3"/>
      <c r="BI174" s="3"/>
      <c r="BJ174" s="3"/>
    </row>
    <row r="175" spans="1:62" ht="15">
      <c r="A175" s="66" t="s">
        <v>354</v>
      </c>
      <c r="B175" s="67"/>
      <c r="C175" s="67"/>
      <c r="D175" s="68">
        <v>50</v>
      </c>
      <c r="E175" s="70"/>
      <c r="F175" s="105" t="str">
        <f>HYPERLINK("https://yt3.ggpht.com/ytc/AIf8zZRJM0Y5y9mIdjG3-jfYFQme9S2qw5zPvwxEbg=s88-c-k-c0x00ffffff-no-rj")</f>
        <v>https://yt3.ggpht.com/ytc/AIf8zZRJM0Y5y9mIdjG3-jfYFQme9S2qw5zPvwxEbg=s88-c-k-c0x00ffffff-no-rj</v>
      </c>
      <c r="G175" s="67"/>
      <c r="H175" s="71" t="s">
        <v>2584</v>
      </c>
      <c r="I175" s="72"/>
      <c r="J175" s="72" t="s">
        <v>159</v>
      </c>
      <c r="K175" s="71" t="s">
        <v>2584</v>
      </c>
      <c r="L175" s="75">
        <v>1</v>
      </c>
      <c r="M175" s="76">
        <v>8232.1943359375</v>
      </c>
      <c r="N175" s="76">
        <v>9496.0029296875</v>
      </c>
      <c r="O175" s="77"/>
      <c r="P175" s="78"/>
      <c r="Q175" s="78"/>
      <c r="R175" s="90"/>
      <c r="S175" s="49">
        <v>0</v>
      </c>
      <c r="T175" s="49">
        <v>1</v>
      </c>
      <c r="U175" s="50">
        <v>0</v>
      </c>
      <c r="V175" s="50">
        <v>0.220844</v>
      </c>
      <c r="W175" s="51"/>
      <c r="X175" s="51"/>
      <c r="Y175" s="51"/>
      <c r="Z175" s="50"/>
      <c r="AA175" s="73">
        <v>175</v>
      </c>
      <c r="AB175" s="73"/>
      <c r="AC175" s="74"/>
      <c r="AD175" s="81" t="s">
        <v>2584</v>
      </c>
      <c r="AE175" s="81"/>
      <c r="AF175" s="81"/>
      <c r="AG175" s="81"/>
      <c r="AH175" s="81"/>
      <c r="AI175" s="81" t="s">
        <v>1820</v>
      </c>
      <c r="AJ175" s="88">
        <v>40577.873564814814</v>
      </c>
      <c r="AK175" s="86" t="str">
        <f>HYPERLINK("https://yt3.ggpht.com/ytc/AIf8zZRJM0Y5y9mIdjG3-jfYFQme9S2qw5zPvwxEbg=s88-c-k-c0x00ffffff-no-rj")</f>
        <v>https://yt3.ggpht.com/ytc/AIf8zZRJM0Y5y9mIdjG3-jfYFQme9S2qw5zPvwxEbg=s88-c-k-c0x00ffffff-no-rj</v>
      </c>
      <c r="AL175" s="81">
        <v>161</v>
      </c>
      <c r="AM175" s="81">
        <v>0</v>
      </c>
      <c r="AN175" s="81">
        <v>0</v>
      </c>
      <c r="AO175" s="81" t="b">
        <v>0</v>
      </c>
      <c r="AP175" s="81">
        <v>1</v>
      </c>
      <c r="AQ175" s="81"/>
      <c r="AR175" s="81"/>
      <c r="AS175" s="81" t="s">
        <v>3378</v>
      </c>
      <c r="AT175" s="86" t="str">
        <f>HYPERLINK("https://www.youtube.com/channel/UCcDFMggcyokNZtoUTDu9Hew")</f>
        <v>https://www.youtube.com/channel/UCcDFMggcyokNZtoUTDu9Hew</v>
      </c>
      <c r="AU175" s="81" t="str">
        <f>REPLACE(INDEX(GroupVertices[Group],MATCH("~"&amp;Vertices[[#This Row],[Vertex]],GroupVertices[Vertex],0)),1,1,"")</f>
        <v>4</v>
      </c>
      <c r="AV175" s="49"/>
      <c r="AW175" s="49"/>
      <c r="AX175" s="49"/>
      <c r="AY175" s="49"/>
      <c r="AZ175" s="49"/>
      <c r="BA175" s="49"/>
      <c r="BB175" s="117" t="s">
        <v>3826</v>
      </c>
      <c r="BC175" s="117" t="s">
        <v>3826</v>
      </c>
      <c r="BD175" s="117" t="s">
        <v>4524</v>
      </c>
      <c r="BE175" s="117" t="s">
        <v>4524</v>
      </c>
      <c r="BF175" s="2"/>
      <c r="BG175" s="3"/>
      <c r="BH175" s="3"/>
      <c r="BI175" s="3"/>
      <c r="BJ175" s="3"/>
    </row>
    <row r="176" spans="1:62" ht="15">
      <c r="A176" s="66" t="s">
        <v>355</v>
      </c>
      <c r="B176" s="67"/>
      <c r="C176" s="67"/>
      <c r="D176" s="68">
        <v>50</v>
      </c>
      <c r="E176" s="70"/>
      <c r="F176" s="105" t="str">
        <f>HYPERLINK("https://yt3.ggpht.com/ytc/AIf8zZRylCVDcy5udiuXZNQuSyNTqaAELz98kWmFEQ=s88-c-k-c0x00ffffff-no-rj")</f>
        <v>https://yt3.ggpht.com/ytc/AIf8zZRylCVDcy5udiuXZNQuSyNTqaAELz98kWmFEQ=s88-c-k-c0x00ffffff-no-rj</v>
      </c>
      <c r="G176" s="67"/>
      <c r="H176" s="71" t="s">
        <v>2585</v>
      </c>
      <c r="I176" s="72"/>
      <c r="J176" s="72" t="s">
        <v>159</v>
      </c>
      <c r="K176" s="71" t="s">
        <v>2585</v>
      </c>
      <c r="L176" s="75">
        <v>1</v>
      </c>
      <c r="M176" s="76">
        <v>9033.0380859375</v>
      </c>
      <c r="N176" s="76">
        <v>5961.09716796875</v>
      </c>
      <c r="O176" s="77"/>
      <c r="P176" s="78"/>
      <c r="Q176" s="78"/>
      <c r="R176" s="90"/>
      <c r="S176" s="49">
        <v>0</v>
      </c>
      <c r="T176" s="49">
        <v>1</v>
      </c>
      <c r="U176" s="50">
        <v>0</v>
      </c>
      <c r="V176" s="50">
        <v>0.220844</v>
      </c>
      <c r="W176" s="51"/>
      <c r="X176" s="51"/>
      <c r="Y176" s="51"/>
      <c r="Z176" s="50"/>
      <c r="AA176" s="73">
        <v>176</v>
      </c>
      <c r="AB176" s="73"/>
      <c r="AC176" s="74"/>
      <c r="AD176" s="81" t="s">
        <v>2585</v>
      </c>
      <c r="AE176" s="81"/>
      <c r="AF176" s="81"/>
      <c r="AG176" s="81"/>
      <c r="AH176" s="81"/>
      <c r="AI176" s="81" t="s">
        <v>1821</v>
      </c>
      <c r="AJ176" s="88">
        <v>39505.42010416667</v>
      </c>
      <c r="AK176" s="86" t="str">
        <f>HYPERLINK("https://yt3.ggpht.com/ytc/AIf8zZRylCVDcy5udiuXZNQuSyNTqaAELz98kWmFEQ=s88-c-k-c0x00ffffff-no-rj")</f>
        <v>https://yt3.ggpht.com/ytc/AIf8zZRylCVDcy5udiuXZNQuSyNTqaAELz98kWmFEQ=s88-c-k-c0x00ffffff-no-rj</v>
      </c>
      <c r="AL176" s="81">
        <v>0</v>
      </c>
      <c r="AM176" s="81">
        <v>0</v>
      </c>
      <c r="AN176" s="81">
        <v>0</v>
      </c>
      <c r="AO176" s="81" t="b">
        <v>0</v>
      </c>
      <c r="AP176" s="81">
        <v>0</v>
      </c>
      <c r="AQ176" s="81"/>
      <c r="AR176" s="81"/>
      <c r="AS176" s="81" t="s">
        <v>3378</v>
      </c>
      <c r="AT176" s="86" t="str">
        <f>HYPERLINK("https://www.youtube.com/channel/UCTACKVEdrckH1AUiaexX2tw")</f>
        <v>https://www.youtube.com/channel/UCTACKVEdrckH1AUiaexX2tw</v>
      </c>
      <c r="AU176" s="81" t="str">
        <f>REPLACE(INDEX(GroupVertices[Group],MATCH("~"&amp;Vertices[[#This Row],[Vertex]],GroupVertices[Vertex],0)),1,1,"")</f>
        <v>4</v>
      </c>
      <c r="AV176" s="49"/>
      <c r="AW176" s="49"/>
      <c r="AX176" s="49"/>
      <c r="AY176" s="49"/>
      <c r="AZ176" s="49"/>
      <c r="BA176" s="49"/>
      <c r="BB176" s="117" t="s">
        <v>3827</v>
      </c>
      <c r="BC176" s="117" t="s">
        <v>3827</v>
      </c>
      <c r="BD176" s="117" t="s">
        <v>4525</v>
      </c>
      <c r="BE176" s="117" t="s">
        <v>4525</v>
      </c>
      <c r="BF176" s="2"/>
      <c r="BG176" s="3"/>
      <c r="BH176" s="3"/>
      <c r="BI176" s="3"/>
      <c r="BJ176" s="3"/>
    </row>
    <row r="177" spans="1:62" ht="15">
      <c r="A177" s="66" t="s">
        <v>356</v>
      </c>
      <c r="B177" s="67"/>
      <c r="C177" s="67"/>
      <c r="D177" s="68">
        <v>50</v>
      </c>
      <c r="E177" s="70"/>
      <c r="F177" s="105" t="str">
        <f>HYPERLINK("https://yt3.ggpht.com/ytc/AIf8zZTUuymPx_XzLkkn_0eDknKhY9OvXQQZns8wKw=s88-c-k-c0x00ffffff-no-rj")</f>
        <v>https://yt3.ggpht.com/ytc/AIf8zZTUuymPx_XzLkkn_0eDknKhY9OvXQQZns8wKw=s88-c-k-c0x00ffffff-no-rj</v>
      </c>
      <c r="G177" s="67"/>
      <c r="H177" s="71" t="s">
        <v>2586</v>
      </c>
      <c r="I177" s="72"/>
      <c r="J177" s="72" t="s">
        <v>159</v>
      </c>
      <c r="K177" s="71" t="s">
        <v>2586</v>
      </c>
      <c r="L177" s="75">
        <v>1</v>
      </c>
      <c r="M177" s="76">
        <v>7248.6572265625</v>
      </c>
      <c r="N177" s="76">
        <v>9050.501953125</v>
      </c>
      <c r="O177" s="77"/>
      <c r="P177" s="78"/>
      <c r="Q177" s="78"/>
      <c r="R177" s="90"/>
      <c r="S177" s="49">
        <v>0</v>
      </c>
      <c r="T177" s="49">
        <v>1</v>
      </c>
      <c r="U177" s="50">
        <v>0</v>
      </c>
      <c r="V177" s="50">
        <v>0.220844</v>
      </c>
      <c r="W177" s="51"/>
      <c r="X177" s="51"/>
      <c r="Y177" s="51"/>
      <c r="Z177" s="50"/>
      <c r="AA177" s="73">
        <v>177</v>
      </c>
      <c r="AB177" s="73"/>
      <c r="AC177" s="74"/>
      <c r="AD177" s="81" t="s">
        <v>2586</v>
      </c>
      <c r="AE177" s="81"/>
      <c r="AF177" s="81"/>
      <c r="AG177" s="81"/>
      <c r="AH177" s="81"/>
      <c r="AI177" s="81" t="s">
        <v>1822</v>
      </c>
      <c r="AJ177" s="88">
        <v>42381.77496527778</v>
      </c>
      <c r="AK177" s="86" t="str">
        <f>HYPERLINK("https://yt3.ggpht.com/ytc/AIf8zZTUuymPx_XzLkkn_0eDknKhY9OvXQQZns8wKw=s88-c-k-c0x00ffffff-no-rj")</f>
        <v>https://yt3.ggpht.com/ytc/AIf8zZTUuymPx_XzLkkn_0eDknKhY9OvXQQZns8wKw=s88-c-k-c0x00ffffff-no-rj</v>
      </c>
      <c r="AL177" s="81">
        <v>0</v>
      </c>
      <c r="AM177" s="81">
        <v>0</v>
      </c>
      <c r="AN177" s="81">
        <v>0</v>
      </c>
      <c r="AO177" s="81" t="b">
        <v>0</v>
      </c>
      <c r="AP177" s="81">
        <v>0</v>
      </c>
      <c r="AQ177" s="81"/>
      <c r="AR177" s="81"/>
      <c r="AS177" s="81" t="s">
        <v>3378</v>
      </c>
      <c r="AT177" s="86" t="str">
        <f>HYPERLINK("https://www.youtube.com/channel/UC19PQxNYrGzeZ-n4fUBVksw")</f>
        <v>https://www.youtube.com/channel/UC19PQxNYrGzeZ-n4fUBVksw</v>
      </c>
      <c r="AU177" s="81" t="str">
        <f>REPLACE(INDEX(GroupVertices[Group],MATCH("~"&amp;Vertices[[#This Row],[Vertex]],GroupVertices[Vertex],0)),1,1,"")</f>
        <v>4</v>
      </c>
      <c r="AV177" s="49"/>
      <c r="AW177" s="49"/>
      <c r="AX177" s="49"/>
      <c r="AY177" s="49"/>
      <c r="AZ177" s="49"/>
      <c r="BA177" s="49"/>
      <c r="BB177" s="117" t="s">
        <v>3828</v>
      </c>
      <c r="BC177" s="117" t="s">
        <v>3828</v>
      </c>
      <c r="BD177" s="117" t="s">
        <v>4526</v>
      </c>
      <c r="BE177" s="117" t="s">
        <v>4526</v>
      </c>
      <c r="BF177" s="2"/>
      <c r="BG177" s="3"/>
      <c r="BH177" s="3"/>
      <c r="BI177" s="3"/>
      <c r="BJ177" s="3"/>
    </row>
    <row r="178" spans="1:62" ht="15">
      <c r="A178" s="66" t="s">
        <v>357</v>
      </c>
      <c r="B178" s="67"/>
      <c r="C178" s="67"/>
      <c r="D178" s="68">
        <v>50</v>
      </c>
      <c r="E178" s="70"/>
      <c r="F178" s="105" t="str">
        <f>HYPERLINK("https://yt3.ggpht.com/ytc/AIf8zZRFVeFMGo1QJyFfVFrJrGq0Rww58wZdXBw7_g=s88-c-k-c0x00ffffff-no-rj")</f>
        <v>https://yt3.ggpht.com/ytc/AIf8zZRFVeFMGo1QJyFfVFrJrGq0Rww58wZdXBw7_g=s88-c-k-c0x00ffffff-no-rj</v>
      </c>
      <c r="G178" s="67"/>
      <c r="H178" s="71" t="s">
        <v>2587</v>
      </c>
      <c r="I178" s="72"/>
      <c r="J178" s="72" t="s">
        <v>159</v>
      </c>
      <c r="K178" s="71" t="s">
        <v>2587</v>
      </c>
      <c r="L178" s="75">
        <v>1</v>
      </c>
      <c r="M178" s="76">
        <v>9442.8486328125</v>
      </c>
      <c r="N178" s="76">
        <v>7797.66796875</v>
      </c>
      <c r="O178" s="77"/>
      <c r="P178" s="78"/>
      <c r="Q178" s="78"/>
      <c r="R178" s="90"/>
      <c r="S178" s="49">
        <v>0</v>
      </c>
      <c r="T178" s="49">
        <v>1</v>
      </c>
      <c r="U178" s="50">
        <v>0</v>
      </c>
      <c r="V178" s="50">
        <v>0.220844</v>
      </c>
      <c r="W178" s="51"/>
      <c r="X178" s="51"/>
      <c r="Y178" s="51"/>
      <c r="Z178" s="50"/>
      <c r="AA178" s="73">
        <v>178</v>
      </c>
      <c r="AB178" s="73"/>
      <c r="AC178" s="74"/>
      <c r="AD178" s="81" t="s">
        <v>2587</v>
      </c>
      <c r="AE178" s="81"/>
      <c r="AF178" s="81"/>
      <c r="AG178" s="81"/>
      <c r="AH178" s="81"/>
      <c r="AI178" s="81" t="s">
        <v>1823</v>
      </c>
      <c r="AJ178" s="88">
        <v>39632.71454861111</v>
      </c>
      <c r="AK178" s="86" t="str">
        <f>HYPERLINK("https://yt3.ggpht.com/ytc/AIf8zZRFVeFMGo1QJyFfVFrJrGq0Rww58wZdXBw7_g=s88-c-k-c0x00ffffff-no-rj")</f>
        <v>https://yt3.ggpht.com/ytc/AIf8zZRFVeFMGo1QJyFfVFrJrGq0Rww58wZdXBw7_g=s88-c-k-c0x00ffffff-no-rj</v>
      </c>
      <c r="AL178" s="81">
        <v>498</v>
      </c>
      <c r="AM178" s="81">
        <v>0</v>
      </c>
      <c r="AN178" s="81">
        <v>11</v>
      </c>
      <c r="AO178" s="81" t="b">
        <v>0</v>
      </c>
      <c r="AP178" s="81">
        <v>4</v>
      </c>
      <c r="AQ178" s="81"/>
      <c r="AR178" s="81"/>
      <c r="AS178" s="81" t="s">
        <v>3378</v>
      </c>
      <c r="AT178" s="86" t="str">
        <f>HYPERLINK("https://www.youtube.com/channel/UCt8K11qwJHvOF1stRt9LmnQ")</f>
        <v>https://www.youtube.com/channel/UCt8K11qwJHvOF1stRt9LmnQ</v>
      </c>
      <c r="AU178" s="81" t="str">
        <f>REPLACE(INDEX(GroupVertices[Group],MATCH("~"&amp;Vertices[[#This Row],[Vertex]],GroupVertices[Vertex],0)),1,1,"")</f>
        <v>4</v>
      </c>
      <c r="AV178" s="49"/>
      <c r="AW178" s="49"/>
      <c r="AX178" s="49"/>
      <c r="AY178" s="49"/>
      <c r="AZ178" s="49"/>
      <c r="BA178" s="49"/>
      <c r="BB178" s="117" t="s">
        <v>3829</v>
      </c>
      <c r="BC178" s="117" t="s">
        <v>3829</v>
      </c>
      <c r="BD178" s="117" t="s">
        <v>4527</v>
      </c>
      <c r="BE178" s="117" t="s">
        <v>4527</v>
      </c>
      <c r="BF178" s="2"/>
      <c r="BG178" s="3"/>
      <c r="BH178" s="3"/>
      <c r="BI178" s="3"/>
      <c r="BJ178" s="3"/>
    </row>
    <row r="179" spans="1:62" ht="15">
      <c r="A179" s="66" t="s">
        <v>358</v>
      </c>
      <c r="B179" s="67"/>
      <c r="C179" s="67"/>
      <c r="D179" s="68">
        <v>50</v>
      </c>
      <c r="E179" s="70"/>
      <c r="F179" s="105" t="str">
        <f>HYPERLINK("https://yt3.ggpht.com/ytc/AIf8zZSgNsTDXGO7qDinKhLt6dA1_TrP__R2u65Dg7_7GQ=s88-c-k-c0x00ffffff-no-rj")</f>
        <v>https://yt3.ggpht.com/ytc/AIf8zZSgNsTDXGO7qDinKhLt6dA1_TrP__R2u65Dg7_7GQ=s88-c-k-c0x00ffffff-no-rj</v>
      </c>
      <c r="G179" s="67"/>
      <c r="H179" s="71" t="s">
        <v>2588</v>
      </c>
      <c r="I179" s="72"/>
      <c r="J179" s="72" t="s">
        <v>159</v>
      </c>
      <c r="K179" s="71" t="s">
        <v>2588</v>
      </c>
      <c r="L179" s="75">
        <v>1</v>
      </c>
      <c r="M179" s="76">
        <v>8360.1279296875</v>
      </c>
      <c r="N179" s="76">
        <v>8321.482421875</v>
      </c>
      <c r="O179" s="77"/>
      <c r="P179" s="78"/>
      <c r="Q179" s="78"/>
      <c r="R179" s="90"/>
      <c r="S179" s="49">
        <v>0</v>
      </c>
      <c r="T179" s="49">
        <v>1</v>
      </c>
      <c r="U179" s="50">
        <v>0</v>
      </c>
      <c r="V179" s="50">
        <v>0.220844</v>
      </c>
      <c r="W179" s="51"/>
      <c r="X179" s="51"/>
      <c r="Y179" s="51"/>
      <c r="Z179" s="50"/>
      <c r="AA179" s="73">
        <v>179</v>
      </c>
      <c r="AB179" s="73"/>
      <c r="AC179" s="74"/>
      <c r="AD179" s="81" t="s">
        <v>2588</v>
      </c>
      <c r="AE179" s="81"/>
      <c r="AF179" s="81"/>
      <c r="AG179" s="81"/>
      <c r="AH179" s="81"/>
      <c r="AI179" s="81" t="s">
        <v>3263</v>
      </c>
      <c r="AJ179" s="88">
        <v>39861.23229166667</v>
      </c>
      <c r="AK179" s="86" t="str">
        <f>HYPERLINK("https://yt3.ggpht.com/ytc/AIf8zZSgNsTDXGO7qDinKhLt6dA1_TrP__R2u65Dg7_7GQ=s88-c-k-c0x00ffffff-no-rj")</f>
        <v>https://yt3.ggpht.com/ytc/AIf8zZSgNsTDXGO7qDinKhLt6dA1_TrP__R2u65Dg7_7GQ=s88-c-k-c0x00ffffff-no-rj</v>
      </c>
      <c r="AL179" s="81">
        <v>75</v>
      </c>
      <c r="AM179" s="81">
        <v>0</v>
      </c>
      <c r="AN179" s="81">
        <v>4</v>
      </c>
      <c r="AO179" s="81" t="b">
        <v>0</v>
      </c>
      <c r="AP179" s="81">
        <v>2</v>
      </c>
      <c r="AQ179" s="81"/>
      <c r="AR179" s="81"/>
      <c r="AS179" s="81" t="s">
        <v>3378</v>
      </c>
      <c r="AT179" s="86" t="str">
        <f>HYPERLINK("https://www.youtube.com/channel/UC2wIoJa95vh4xFLdtXiwu2Q")</f>
        <v>https://www.youtube.com/channel/UC2wIoJa95vh4xFLdtXiwu2Q</v>
      </c>
      <c r="AU179" s="81" t="str">
        <f>REPLACE(INDEX(GroupVertices[Group],MATCH("~"&amp;Vertices[[#This Row],[Vertex]],GroupVertices[Vertex],0)),1,1,"")</f>
        <v>4</v>
      </c>
      <c r="AV179" s="49"/>
      <c r="AW179" s="49"/>
      <c r="AX179" s="49"/>
      <c r="AY179" s="49"/>
      <c r="AZ179" s="49"/>
      <c r="BA179" s="49"/>
      <c r="BB179" s="117" t="s">
        <v>3830</v>
      </c>
      <c r="BC179" s="117" t="s">
        <v>3830</v>
      </c>
      <c r="BD179" s="117" t="s">
        <v>4528</v>
      </c>
      <c r="BE179" s="117" t="s">
        <v>4528</v>
      </c>
      <c r="BF179" s="2"/>
      <c r="BG179" s="3"/>
      <c r="BH179" s="3"/>
      <c r="BI179" s="3"/>
      <c r="BJ179" s="3"/>
    </row>
    <row r="180" spans="1:62" ht="15">
      <c r="A180" s="66" t="s">
        <v>360</v>
      </c>
      <c r="B180" s="67"/>
      <c r="C180" s="67"/>
      <c r="D180" s="68">
        <v>50</v>
      </c>
      <c r="E180" s="70"/>
      <c r="F180" s="105" t="str">
        <f>HYPERLINK("https://yt3.ggpht.com/Wq7mZv69dZR25Otf2IV8WXwWcvvvG29IjGcqrGFjhFfg0WqU91qJhCxlVN3GEftyP0o16OzIZA=s88-c-k-c0x00ffffff-no-rj")</f>
        <v>https://yt3.ggpht.com/Wq7mZv69dZR25Otf2IV8WXwWcvvvG29IjGcqrGFjhFfg0WqU91qJhCxlVN3GEftyP0o16OzIZA=s88-c-k-c0x00ffffff-no-rj</v>
      </c>
      <c r="G180" s="67"/>
      <c r="H180" s="71" t="s">
        <v>2590</v>
      </c>
      <c r="I180" s="72"/>
      <c r="J180" s="72" t="s">
        <v>159</v>
      </c>
      <c r="K180" s="71" t="s">
        <v>2590</v>
      </c>
      <c r="L180" s="75">
        <v>1</v>
      </c>
      <c r="M180" s="76">
        <v>9533.2216796875</v>
      </c>
      <c r="N180" s="76">
        <v>8750.783203125</v>
      </c>
      <c r="O180" s="77"/>
      <c r="P180" s="78"/>
      <c r="Q180" s="78"/>
      <c r="R180" s="90"/>
      <c r="S180" s="49">
        <v>0</v>
      </c>
      <c r="T180" s="49">
        <v>1</v>
      </c>
      <c r="U180" s="50">
        <v>0</v>
      </c>
      <c r="V180" s="50">
        <v>0.220844</v>
      </c>
      <c r="W180" s="51"/>
      <c r="X180" s="51"/>
      <c r="Y180" s="51"/>
      <c r="Z180" s="50"/>
      <c r="AA180" s="73">
        <v>180</v>
      </c>
      <c r="AB180" s="73"/>
      <c r="AC180" s="74"/>
      <c r="AD180" s="81" t="s">
        <v>2590</v>
      </c>
      <c r="AE180" s="81"/>
      <c r="AF180" s="81"/>
      <c r="AG180" s="81"/>
      <c r="AH180" s="81"/>
      <c r="AI180" s="81" t="s">
        <v>1826</v>
      </c>
      <c r="AJ180" s="88">
        <v>40902.77379629629</v>
      </c>
      <c r="AK180" s="86" t="str">
        <f>HYPERLINK("https://yt3.ggpht.com/Wq7mZv69dZR25Otf2IV8WXwWcvvvG29IjGcqrGFjhFfg0WqU91qJhCxlVN3GEftyP0o16OzIZA=s88-c-k-c0x00ffffff-no-rj")</f>
        <v>https://yt3.ggpht.com/Wq7mZv69dZR25Otf2IV8WXwWcvvvG29IjGcqrGFjhFfg0WqU91qJhCxlVN3GEftyP0o16OzIZA=s88-c-k-c0x00ffffff-no-rj</v>
      </c>
      <c r="AL180" s="81">
        <v>0</v>
      </c>
      <c r="AM180" s="81">
        <v>0</v>
      </c>
      <c r="AN180" s="81">
        <v>1</v>
      </c>
      <c r="AO180" s="81" t="b">
        <v>0</v>
      </c>
      <c r="AP180" s="81">
        <v>0</v>
      </c>
      <c r="AQ180" s="81"/>
      <c r="AR180" s="81"/>
      <c r="AS180" s="81" t="s">
        <v>3378</v>
      </c>
      <c r="AT180" s="86" t="str">
        <f>HYPERLINK("https://www.youtube.com/channel/UCGXzZg1hn6c2PdX_KZ6hOqQ")</f>
        <v>https://www.youtube.com/channel/UCGXzZg1hn6c2PdX_KZ6hOqQ</v>
      </c>
      <c r="AU180" s="81" t="str">
        <f>REPLACE(INDEX(GroupVertices[Group],MATCH("~"&amp;Vertices[[#This Row],[Vertex]],GroupVertices[Vertex],0)),1,1,"")</f>
        <v>4</v>
      </c>
      <c r="AV180" s="49"/>
      <c r="AW180" s="49"/>
      <c r="AX180" s="49"/>
      <c r="AY180" s="49"/>
      <c r="AZ180" s="49"/>
      <c r="BA180" s="49"/>
      <c r="BB180" s="117" t="s">
        <v>3832</v>
      </c>
      <c r="BC180" s="117" t="s">
        <v>3832</v>
      </c>
      <c r="BD180" s="117" t="s">
        <v>4530</v>
      </c>
      <c r="BE180" s="117" t="s">
        <v>4530</v>
      </c>
      <c r="BF180" s="2"/>
      <c r="BG180" s="3"/>
      <c r="BH180" s="3"/>
      <c r="BI180" s="3"/>
      <c r="BJ180" s="3"/>
    </row>
    <row r="181" spans="1:62" ht="15">
      <c r="A181" s="66" t="s">
        <v>361</v>
      </c>
      <c r="B181" s="67"/>
      <c r="C181" s="67"/>
      <c r="D181" s="68">
        <v>50</v>
      </c>
      <c r="E181" s="70"/>
      <c r="F181" s="105" t="str">
        <f>HYPERLINK("https://yt3.ggpht.com/ytc/AIf8zZTbgMypRrfWPQa8aAyR0lfxZehCGZ99u_RdTe4MYkE6j_Br8xiCmdwrBRFtIb2I=s88-c-k-c0x00ffffff-no-rj")</f>
        <v>https://yt3.ggpht.com/ytc/AIf8zZTbgMypRrfWPQa8aAyR0lfxZehCGZ99u_RdTe4MYkE6j_Br8xiCmdwrBRFtIb2I=s88-c-k-c0x00ffffff-no-rj</v>
      </c>
      <c r="G181" s="67"/>
      <c r="H181" s="71" t="s">
        <v>2591</v>
      </c>
      <c r="I181" s="72"/>
      <c r="J181" s="72" t="s">
        <v>159</v>
      </c>
      <c r="K181" s="71" t="s">
        <v>2591</v>
      </c>
      <c r="L181" s="75">
        <v>1</v>
      </c>
      <c r="M181" s="76">
        <v>7303.65771484375</v>
      </c>
      <c r="N181" s="76">
        <v>8426.7060546875</v>
      </c>
      <c r="O181" s="77"/>
      <c r="P181" s="78"/>
      <c r="Q181" s="78"/>
      <c r="R181" s="90"/>
      <c r="S181" s="49">
        <v>0</v>
      </c>
      <c r="T181" s="49">
        <v>1</v>
      </c>
      <c r="U181" s="50">
        <v>0</v>
      </c>
      <c r="V181" s="50">
        <v>0.220844</v>
      </c>
      <c r="W181" s="51"/>
      <c r="X181" s="51"/>
      <c r="Y181" s="51"/>
      <c r="Z181" s="50"/>
      <c r="AA181" s="73">
        <v>181</v>
      </c>
      <c r="AB181" s="73"/>
      <c r="AC181" s="74"/>
      <c r="AD181" s="81" t="s">
        <v>2591</v>
      </c>
      <c r="AE181" s="81"/>
      <c r="AF181" s="81"/>
      <c r="AG181" s="81"/>
      <c r="AH181" s="81"/>
      <c r="AI181" s="81" t="s">
        <v>1827</v>
      </c>
      <c r="AJ181" s="88">
        <v>45089.95525462963</v>
      </c>
      <c r="AK181" s="86" t="str">
        <f>HYPERLINK("https://yt3.ggpht.com/ytc/AIf8zZTbgMypRrfWPQa8aAyR0lfxZehCGZ99u_RdTe4MYkE6j_Br8xiCmdwrBRFtIb2I=s88-c-k-c0x00ffffff-no-rj")</f>
        <v>https://yt3.ggpht.com/ytc/AIf8zZTbgMypRrfWPQa8aAyR0lfxZehCGZ99u_RdTe4MYkE6j_Br8xiCmdwrBRFtIb2I=s88-c-k-c0x00ffffff-no-rj</v>
      </c>
      <c r="AL181" s="81">
        <v>0</v>
      </c>
      <c r="AM181" s="81">
        <v>0</v>
      </c>
      <c r="AN181" s="81">
        <v>1</v>
      </c>
      <c r="AO181" s="81" t="b">
        <v>0</v>
      </c>
      <c r="AP181" s="81">
        <v>0</v>
      </c>
      <c r="AQ181" s="81"/>
      <c r="AR181" s="81"/>
      <c r="AS181" s="81" t="s">
        <v>3378</v>
      </c>
      <c r="AT181" s="86" t="str">
        <f>HYPERLINK("https://www.youtube.com/channel/UCRQI3Qn1kt7r0eh6OjmUWfQ")</f>
        <v>https://www.youtube.com/channel/UCRQI3Qn1kt7r0eh6OjmUWfQ</v>
      </c>
      <c r="AU181" s="81" t="str">
        <f>REPLACE(INDEX(GroupVertices[Group],MATCH("~"&amp;Vertices[[#This Row],[Vertex]],GroupVertices[Vertex],0)),1,1,"")</f>
        <v>4</v>
      </c>
      <c r="AV181" s="49"/>
      <c r="AW181" s="49"/>
      <c r="AX181" s="49"/>
      <c r="AY181" s="49"/>
      <c r="AZ181" s="49"/>
      <c r="BA181" s="49"/>
      <c r="BB181" s="117" t="s">
        <v>3833</v>
      </c>
      <c r="BC181" s="117" t="s">
        <v>3833</v>
      </c>
      <c r="BD181" s="117" t="s">
        <v>4531</v>
      </c>
      <c r="BE181" s="117" t="s">
        <v>4531</v>
      </c>
      <c r="BF181" s="2"/>
      <c r="BG181" s="3"/>
      <c r="BH181" s="3"/>
      <c r="BI181" s="3"/>
      <c r="BJ181" s="3"/>
    </row>
    <row r="182" spans="1:62" ht="15">
      <c r="A182" s="66" t="s">
        <v>362</v>
      </c>
      <c r="B182" s="67"/>
      <c r="C182" s="67"/>
      <c r="D182" s="68">
        <v>50</v>
      </c>
      <c r="E182" s="70"/>
      <c r="F182" s="105" t="str">
        <f>HYPERLINK("https://yt3.ggpht.com/ytc/AIf8zZSp87iid5q1Vw9EDTZdExJHpYN-6tGdX98qVA=s88-c-k-c0x00ffffff-no-rj")</f>
        <v>https://yt3.ggpht.com/ytc/AIf8zZSp87iid5q1Vw9EDTZdExJHpYN-6tGdX98qVA=s88-c-k-c0x00ffffff-no-rj</v>
      </c>
      <c r="G182" s="67"/>
      <c r="H182" s="71" t="s">
        <v>2592</v>
      </c>
      <c r="I182" s="72"/>
      <c r="J182" s="72" t="s">
        <v>159</v>
      </c>
      <c r="K182" s="71" t="s">
        <v>2592</v>
      </c>
      <c r="L182" s="75">
        <v>1</v>
      </c>
      <c r="M182" s="76">
        <v>7405.52001953125</v>
      </c>
      <c r="N182" s="76">
        <v>8844.130859375</v>
      </c>
      <c r="O182" s="77"/>
      <c r="P182" s="78"/>
      <c r="Q182" s="78"/>
      <c r="R182" s="90"/>
      <c r="S182" s="49">
        <v>0</v>
      </c>
      <c r="T182" s="49">
        <v>1</v>
      </c>
      <c r="U182" s="50">
        <v>0</v>
      </c>
      <c r="V182" s="50">
        <v>0.220844</v>
      </c>
      <c r="W182" s="51"/>
      <c r="X182" s="51"/>
      <c r="Y182" s="51"/>
      <c r="Z182" s="50"/>
      <c r="AA182" s="73">
        <v>182</v>
      </c>
      <c r="AB182" s="73"/>
      <c r="AC182" s="74"/>
      <c r="AD182" s="81" t="s">
        <v>2592</v>
      </c>
      <c r="AE182" s="81"/>
      <c r="AF182" s="81"/>
      <c r="AG182" s="81"/>
      <c r="AH182" s="81"/>
      <c r="AI182" s="81" t="s">
        <v>1828</v>
      </c>
      <c r="AJ182" s="88">
        <v>40902.08712962963</v>
      </c>
      <c r="AK182" s="86" t="str">
        <f>HYPERLINK("https://yt3.ggpht.com/ytc/AIf8zZSp87iid5q1Vw9EDTZdExJHpYN-6tGdX98qVA=s88-c-k-c0x00ffffff-no-rj")</f>
        <v>https://yt3.ggpht.com/ytc/AIf8zZSp87iid5q1Vw9EDTZdExJHpYN-6tGdX98qVA=s88-c-k-c0x00ffffff-no-rj</v>
      </c>
      <c r="AL182" s="81">
        <v>0</v>
      </c>
      <c r="AM182" s="81">
        <v>0</v>
      </c>
      <c r="AN182" s="81">
        <v>2</v>
      </c>
      <c r="AO182" s="81" t="b">
        <v>0</v>
      </c>
      <c r="AP182" s="81">
        <v>0</v>
      </c>
      <c r="AQ182" s="81"/>
      <c r="AR182" s="81"/>
      <c r="AS182" s="81" t="s">
        <v>3378</v>
      </c>
      <c r="AT182" s="86" t="str">
        <f>HYPERLINK("https://www.youtube.com/channel/UCaDCQcDDEt-ps-zmSAAOLxw")</f>
        <v>https://www.youtube.com/channel/UCaDCQcDDEt-ps-zmSAAOLxw</v>
      </c>
      <c r="AU182" s="81" t="str">
        <f>REPLACE(INDEX(GroupVertices[Group],MATCH("~"&amp;Vertices[[#This Row],[Vertex]],GroupVertices[Vertex],0)),1,1,"")</f>
        <v>4</v>
      </c>
      <c r="AV182" s="49"/>
      <c r="AW182" s="49"/>
      <c r="AX182" s="49"/>
      <c r="AY182" s="49"/>
      <c r="AZ182" s="49"/>
      <c r="BA182" s="49"/>
      <c r="BB182" s="117" t="s">
        <v>3834</v>
      </c>
      <c r="BC182" s="117" t="s">
        <v>3834</v>
      </c>
      <c r="BD182" s="117" t="s">
        <v>4532</v>
      </c>
      <c r="BE182" s="117" t="s">
        <v>4532</v>
      </c>
      <c r="BF182" s="2"/>
      <c r="BG182" s="3"/>
      <c r="BH182" s="3"/>
      <c r="BI182" s="3"/>
      <c r="BJ182" s="3"/>
    </row>
    <row r="183" spans="1:62" ht="15">
      <c r="A183" s="66" t="s">
        <v>363</v>
      </c>
      <c r="B183" s="67"/>
      <c r="C183" s="67"/>
      <c r="D183" s="68">
        <v>50</v>
      </c>
      <c r="E183" s="70"/>
      <c r="F183" s="105" t="str">
        <f>HYPERLINK("https://yt3.ggpht.com/ytc/AIf8zZQLX_l5tWPA3nwyJdOyG7Gmf5VYbr8UpNBS_A=s88-c-k-c0x00ffffff-no-rj")</f>
        <v>https://yt3.ggpht.com/ytc/AIf8zZQLX_l5tWPA3nwyJdOyG7Gmf5VYbr8UpNBS_A=s88-c-k-c0x00ffffff-no-rj</v>
      </c>
      <c r="G183" s="67"/>
      <c r="H183" s="71" t="s">
        <v>2593</v>
      </c>
      <c r="I183" s="72"/>
      <c r="J183" s="72" t="s">
        <v>159</v>
      </c>
      <c r="K183" s="71" t="s">
        <v>2593</v>
      </c>
      <c r="L183" s="75">
        <v>1</v>
      </c>
      <c r="M183" s="76">
        <v>9377.439453125</v>
      </c>
      <c r="N183" s="76">
        <v>6268.3720703125</v>
      </c>
      <c r="O183" s="77"/>
      <c r="P183" s="78"/>
      <c r="Q183" s="78"/>
      <c r="R183" s="90"/>
      <c r="S183" s="49">
        <v>0</v>
      </c>
      <c r="T183" s="49">
        <v>1</v>
      </c>
      <c r="U183" s="50">
        <v>0</v>
      </c>
      <c r="V183" s="50">
        <v>0.220844</v>
      </c>
      <c r="W183" s="51"/>
      <c r="X183" s="51"/>
      <c r="Y183" s="51"/>
      <c r="Z183" s="50"/>
      <c r="AA183" s="73">
        <v>183</v>
      </c>
      <c r="AB183" s="73"/>
      <c r="AC183" s="74"/>
      <c r="AD183" s="81" t="s">
        <v>2593</v>
      </c>
      <c r="AE183" s="81"/>
      <c r="AF183" s="81"/>
      <c r="AG183" s="81"/>
      <c r="AH183" s="81"/>
      <c r="AI183" s="81" t="s">
        <v>3264</v>
      </c>
      <c r="AJ183" s="88">
        <v>41193.26388888889</v>
      </c>
      <c r="AK183" s="86" t="str">
        <f>HYPERLINK("https://yt3.ggpht.com/ytc/AIf8zZQLX_l5tWPA3nwyJdOyG7Gmf5VYbr8UpNBS_A=s88-c-k-c0x00ffffff-no-rj")</f>
        <v>https://yt3.ggpht.com/ytc/AIf8zZQLX_l5tWPA3nwyJdOyG7Gmf5VYbr8UpNBS_A=s88-c-k-c0x00ffffff-no-rj</v>
      </c>
      <c r="AL183" s="81">
        <v>0</v>
      </c>
      <c r="AM183" s="81">
        <v>0</v>
      </c>
      <c r="AN183" s="81">
        <v>1</v>
      </c>
      <c r="AO183" s="81" t="b">
        <v>0</v>
      </c>
      <c r="AP183" s="81">
        <v>0</v>
      </c>
      <c r="AQ183" s="81"/>
      <c r="AR183" s="81"/>
      <c r="AS183" s="81" t="s">
        <v>3378</v>
      </c>
      <c r="AT183" s="86" t="str">
        <f>HYPERLINK("https://www.youtube.com/channel/UC7Hv3XOnlC6p4y2jJDxPF_w")</f>
        <v>https://www.youtube.com/channel/UC7Hv3XOnlC6p4y2jJDxPF_w</v>
      </c>
      <c r="AU183" s="81" t="str">
        <f>REPLACE(INDEX(GroupVertices[Group],MATCH("~"&amp;Vertices[[#This Row],[Vertex]],GroupVertices[Vertex],0)),1,1,"")</f>
        <v>4</v>
      </c>
      <c r="AV183" s="49"/>
      <c r="AW183" s="49"/>
      <c r="AX183" s="49"/>
      <c r="AY183" s="49"/>
      <c r="AZ183" s="49"/>
      <c r="BA183" s="49"/>
      <c r="BB183" s="117" t="s">
        <v>3835</v>
      </c>
      <c r="BC183" s="117" t="s">
        <v>3835</v>
      </c>
      <c r="BD183" s="117" t="s">
        <v>4533</v>
      </c>
      <c r="BE183" s="117" t="s">
        <v>4533</v>
      </c>
      <c r="BF183" s="2"/>
      <c r="BG183" s="3"/>
      <c r="BH183" s="3"/>
      <c r="BI183" s="3"/>
      <c r="BJ183" s="3"/>
    </row>
    <row r="184" spans="1:62" ht="15">
      <c r="A184" s="66" t="s">
        <v>364</v>
      </c>
      <c r="B184" s="67"/>
      <c r="C184" s="67"/>
      <c r="D184" s="68">
        <v>50</v>
      </c>
      <c r="E184" s="70"/>
      <c r="F184" s="105" t="str">
        <f>HYPERLINK("https://yt3.ggpht.com/ytc/AIf8zZQ1D-YfFSLsgjhpBk-2W3BjX_3GkWNoaQ9KpA=s88-c-k-c0x00ffffff-no-rj")</f>
        <v>https://yt3.ggpht.com/ytc/AIf8zZQ1D-YfFSLsgjhpBk-2W3BjX_3GkWNoaQ9KpA=s88-c-k-c0x00ffffff-no-rj</v>
      </c>
      <c r="G184" s="67"/>
      <c r="H184" s="71" t="s">
        <v>2594</v>
      </c>
      <c r="I184" s="72"/>
      <c r="J184" s="72" t="s">
        <v>159</v>
      </c>
      <c r="K184" s="71" t="s">
        <v>2594</v>
      </c>
      <c r="L184" s="75">
        <v>1</v>
      </c>
      <c r="M184" s="76">
        <v>8775.9638671875</v>
      </c>
      <c r="N184" s="76">
        <v>8037.0703125</v>
      </c>
      <c r="O184" s="77"/>
      <c r="P184" s="78"/>
      <c r="Q184" s="78"/>
      <c r="R184" s="90"/>
      <c r="S184" s="49">
        <v>0</v>
      </c>
      <c r="T184" s="49">
        <v>1</v>
      </c>
      <c r="U184" s="50">
        <v>0</v>
      </c>
      <c r="V184" s="50">
        <v>0.220844</v>
      </c>
      <c r="W184" s="51"/>
      <c r="X184" s="51"/>
      <c r="Y184" s="51"/>
      <c r="Z184" s="50"/>
      <c r="AA184" s="73">
        <v>184</v>
      </c>
      <c r="AB184" s="73"/>
      <c r="AC184" s="74"/>
      <c r="AD184" s="81" t="s">
        <v>2594</v>
      </c>
      <c r="AE184" s="81"/>
      <c r="AF184" s="81"/>
      <c r="AG184" s="81"/>
      <c r="AH184" s="81"/>
      <c r="AI184" s="81" t="s">
        <v>1830</v>
      </c>
      <c r="AJ184" s="88">
        <v>40845.577673611115</v>
      </c>
      <c r="AK184" s="86" t="str">
        <f>HYPERLINK("https://yt3.ggpht.com/ytc/AIf8zZQ1D-YfFSLsgjhpBk-2W3BjX_3GkWNoaQ9KpA=s88-c-k-c0x00ffffff-no-rj")</f>
        <v>https://yt3.ggpht.com/ytc/AIf8zZQ1D-YfFSLsgjhpBk-2W3BjX_3GkWNoaQ9KpA=s88-c-k-c0x00ffffff-no-rj</v>
      </c>
      <c r="AL184" s="81">
        <v>142394</v>
      </c>
      <c r="AM184" s="81">
        <v>0</v>
      </c>
      <c r="AN184" s="81">
        <v>30</v>
      </c>
      <c r="AO184" s="81" t="b">
        <v>0</v>
      </c>
      <c r="AP184" s="81">
        <v>7</v>
      </c>
      <c r="AQ184" s="81"/>
      <c r="AR184" s="81"/>
      <c r="AS184" s="81" t="s">
        <v>3378</v>
      </c>
      <c r="AT184" s="86" t="str">
        <f>HYPERLINK("https://www.youtube.com/channel/UCjwlv0FFnz318DMA_wr2LWQ")</f>
        <v>https://www.youtube.com/channel/UCjwlv0FFnz318DMA_wr2LWQ</v>
      </c>
      <c r="AU184" s="81" t="str">
        <f>REPLACE(INDEX(GroupVertices[Group],MATCH("~"&amp;Vertices[[#This Row],[Vertex]],GroupVertices[Vertex],0)),1,1,"")</f>
        <v>4</v>
      </c>
      <c r="AV184" s="49"/>
      <c r="AW184" s="49"/>
      <c r="AX184" s="49"/>
      <c r="AY184" s="49"/>
      <c r="AZ184" s="49"/>
      <c r="BA184" s="49"/>
      <c r="BB184" s="117" t="s">
        <v>3836</v>
      </c>
      <c r="BC184" s="117" t="s">
        <v>3836</v>
      </c>
      <c r="BD184" s="117" t="s">
        <v>4534</v>
      </c>
      <c r="BE184" s="117" t="s">
        <v>4534</v>
      </c>
      <c r="BF184" s="2"/>
      <c r="BG184" s="3"/>
      <c r="BH184" s="3"/>
      <c r="BI184" s="3"/>
      <c r="BJ184" s="3"/>
    </row>
    <row r="185" spans="1:62" ht="15">
      <c r="A185" s="66" t="s">
        <v>365</v>
      </c>
      <c r="B185" s="67"/>
      <c r="C185" s="67"/>
      <c r="D185" s="68">
        <v>50</v>
      </c>
      <c r="E185" s="70"/>
      <c r="F185" s="105" t="str">
        <f>HYPERLINK("https://yt3.ggpht.com/ytc/AIf8zZSI9pDI2k62zDSD7HCM21Xk8g_NMEdbGnwzpra9EA=s88-c-k-c0x00ffffff-no-rj")</f>
        <v>https://yt3.ggpht.com/ytc/AIf8zZSI9pDI2k62zDSD7HCM21Xk8g_NMEdbGnwzpra9EA=s88-c-k-c0x00ffffff-no-rj</v>
      </c>
      <c r="G185" s="67"/>
      <c r="H185" s="71" t="s">
        <v>2595</v>
      </c>
      <c r="I185" s="72"/>
      <c r="J185" s="72" t="s">
        <v>159</v>
      </c>
      <c r="K185" s="71" t="s">
        <v>2595</v>
      </c>
      <c r="L185" s="75">
        <v>1</v>
      </c>
      <c r="M185" s="76">
        <v>8291.2998046875</v>
      </c>
      <c r="N185" s="76">
        <v>9846.576171875</v>
      </c>
      <c r="O185" s="77"/>
      <c r="P185" s="78"/>
      <c r="Q185" s="78"/>
      <c r="R185" s="90"/>
      <c r="S185" s="49">
        <v>0</v>
      </c>
      <c r="T185" s="49">
        <v>1</v>
      </c>
      <c r="U185" s="50">
        <v>0</v>
      </c>
      <c r="V185" s="50">
        <v>0.220844</v>
      </c>
      <c r="W185" s="51"/>
      <c r="X185" s="51"/>
      <c r="Y185" s="51"/>
      <c r="Z185" s="50"/>
      <c r="AA185" s="73">
        <v>185</v>
      </c>
      <c r="AB185" s="73"/>
      <c r="AC185" s="74"/>
      <c r="AD185" s="81" t="s">
        <v>2595</v>
      </c>
      <c r="AE185" s="81"/>
      <c r="AF185" s="81"/>
      <c r="AG185" s="81"/>
      <c r="AH185" s="81"/>
      <c r="AI185" s="81" t="s">
        <v>1831</v>
      </c>
      <c r="AJ185" s="88">
        <v>41021.30399305555</v>
      </c>
      <c r="AK185" s="86" t="str">
        <f>HYPERLINK("https://yt3.ggpht.com/ytc/AIf8zZSI9pDI2k62zDSD7HCM21Xk8g_NMEdbGnwzpra9EA=s88-c-k-c0x00ffffff-no-rj")</f>
        <v>https://yt3.ggpht.com/ytc/AIf8zZSI9pDI2k62zDSD7HCM21Xk8g_NMEdbGnwzpra9EA=s88-c-k-c0x00ffffff-no-rj</v>
      </c>
      <c r="AL185" s="81">
        <v>464</v>
      </c>
      <c r="AM185" s="81">
        <v>0</v>
      </c>
      <c r="AN185" s="81">
        <v>10</v>
      </c>
      <c r="AO185" s="81" t="b">
        <v>0</v>
      </c>
      <c r="AP185" s="81">
        <v>4</v>
      </c>
      <c r="AQ185" s="81"/>
      <c r="AR185" s="81"/>
      <c r="AS185" s="81" t="s">
        <v>3378</v>
      </c>
      <c r="AT185" s="86" t="str">
        <f>HYPERLINK("https://www.youtube.com/channel/UCNyC_QT3YMT5CsEJKjWYKww")</f>
        <v>https://www.youtube.com/channel/UCNyC_QT3YMT5CsEJKjWYKww</v>
      </c>
      <c r="AU185" s="81" t="str">
        <f>REPLACE(INDEX(GroupVertices[Group],MATCH("~"&amp;Vertices[[#This Row],[Vertex]],GroupVertices[Vertex],0)),1,1,"")</f>
        <v>4</v>
      </c>
      <c r="AV185" s="49"/>
      <c r="AW185" s="49"/>
      <c r="AX185" s="49"/>
      <c r="AY185" s="49"/>
      <c r="AZ185" s="49"/>
      <c r="BA185" s="49"/>
      <c r="BB185" s="117" t="s">
        <v>3837</v>
      </c>
      <c r="BC185" s="117" t="s">
        <v>3837</v>
      </c>
      <c r="BD185" s="117" t="s">
        <v>4535</v>
      </c>
      <c r="BE185" s="117" t="s">
        <v>4535</v>
      </c>
      <c r="BF185" s="2"/>
      <c r="BG185" s="3"/>
      <c r="BH185" s="3"/>
      <c r="BI185" s="3"/>
      <c r="BJ185" s="3"/>
    </row>
    <row r="186" spans="1:62" ht="15">
      <c r="A186" s="66" t="s">
        <v>366</v>
      </c>
      <c r="B186" s="67"/>
      <c r="C186" s="67"/>
      <c r="D186" s="68">
        <v>50</v>
      </c>
      <c r="E186" s="70"/>
      <c r="F186" s="105" t="str">
        <f>HYPERLINK("https://yt3.ggpht.com/ytc/AIf8zZQ-fY9LcMF0bxbLB7-peqM5srBBeB-I7yN2BQ=s88-c-k-c0x00ffffff-no-rj")</f>
        <v>https://yt3.ggpht.com/ytc/AIf8zZQ-fY9LcMF0bxbLB7-peqM5srBBeB-I7yN2BQ=s88-c-k-c0x00ffffff-no-rj</v>
      </c>
      <c r="G186" s="67"/>
      <c r="H186" s="71" t="s">
        <v>2596</v>
      </c>
      <c r="I186" s="72"/>
      <c r="J186" s="72" t="s">
        <v>159</v>
      </c>
      <c r="K186" s="71" t="s">
        <v>2596</v>
      </c>
      <c r="L186" s="75">
        <v>1</v>
      </c>
      <c r="M186" s="76">
        <v>9462.025390625</v>
      </c>
      <c r="N186" s="76">
        <v>9212.09765625</v>
      </c>
      <c r="O186" s="77"/>
      <c r="P186" s="78"/>
      <c r="Q186" s="78"/>
      <c r="R186" s="90"/>
      <c r="S186" s="49">
        <v>0</v>
      </c>
      <c r="T186" s="49">
        <v>1</v>
      </c>
      <c r="U186" s="50">
        <v>0</v>
      </c>
      <c r="V186" s="50">
        <v>0.220844</v>
      </c>
      <c r="W186" s="51"/>
      <c r="X186" s="51"/>
      <c r="Y186" s="51"/>
      <c r="Z186" s="50"/>
      <c r="AA186" s="73">
        <v>186</v>
      </c>
      <c r="AB186" s="73"/>
      <c r="AC186" s="74"/>
      <c r="AD186" s="81" t="s">
        <v>2596</v>
      </c>
      <c r="AE186" s="81"/>
      <c r="AF186" s="81"/>
      <c r="AG186" s="81"/>
      <c r="AH186" s="81"/>
      <c r="AI186" s="81" t="s">
        <v>1832</v>
      </c>
      <c r="AJ186" s="88">
        <v>44092.31480324074</v>
      </c>
      <c r="AK186" s="86" t="str">
        <f>HYPERLINK("https://yt3.ggpht.com/ytc/AIf8zZQ-fY9LcMF0bxbLB7-peqM5srBBeB-I7yN2BQ=s88-c-k-c0x00ffffff-no-rj")</f>
        <v>https://yt3.ggpht.com/ytc/AIf8zZQ-fY9LcMF0bxbLB7-peqM5srBBeB-I7yN2BQ=s88-c-k-c0x00ffffff-no-rj</v>
      </c>
      <c r="AL186" s="81">
        <v>0</v>
      </c>
      <c r="AM186" s="81">
        <v>0</v>
      </c>
      <c r="AN186" s="81">
        <v>9</v>
      </c>
      <c r="AO186" s="81" t="b">
        <v>0</v>
      </c>
      <c r="AP186" s="81">
        <v>0</v>
      </c>
      <c r="AQ186" s="81"/>
      <c r="AR186" s="81"/>
      <c r="AS186" s="81" t="s">
        <v>3378</v>
      </c>
      <c r="AT186" s="86" t="str">
        <f>HYPERLINK("https://www.youtube.com/channel/UCFPKhrduCQk6HoptZ0L-AYg")</f>
        <v>https://www.youtube.com/channel/UCFPKhrduCQk6HoptZ0L-AYg</v>
      </c>
      <c r="AU186" s="81" t="str">
        <f>REPLACE(INDEX(GroupVertices[Group],MATCH("~"&amp;Vertices[[#This Row],[Vertex]],GroupVertices[Vertex],0)),1,1,"")</f>
        <v>4</v>
      </c>
      <c r="AV186" s="49"/>
      <c r="AW186" s="49"/>
      <c r="AX186" s="49"/>
      <c r="AY186" s="49"/>
      <c r="AZ186" s="49"/>
      <c r="BA186" s="49"/>
      <c r="BB186" s="117" t="s">
        <v>3838</v>
      </c>
      <c r="BC186" s="117" t="s">
        <v>3838</v>
      </c>
      <c r="BD186" s="117" t="s">
        <v>4536</v>
      </c>
      <c r="BE186" s="117" t="s">
        <v>4536</v>
      </c>
      <c r="BF186" s="2"/>
      <c r="BG186" s="3"/>
      <c r="BH186" s="3"/>
      <c r="BI186" s="3"/>
      <c r="BJ186" s="3"/>
    </row>
    <row r="187" spans="1:62" ht="15">
      <c r="A187" s="66" t="s">
        <v>367</v>
      </c>
      <c r="B187" s="67"/>
      <c r="C187" s="67"/>
      <c r="D187" s="68">
        <v>50</v>
      </c>
      <c r="E187" s="70"/>
      <c r="F187" s="105" t="str">
        <f>HYPERLINK("https://yt3.ggpht.com/ytc/AIf8zZSjrUaltLoJh5AxH6sFkh6tZJTQZtab_Yy_qEyke-OhNg=s88-c-k-c0x00ffffff-no-rj")</f>
        <v>https://yt3.ggpht.com/ytc/AIf8zZSjrUaltLoJh5AxH6sFkh6tZJTQZtab_Yy_qEyke-OhNg=s88-c-k-c0x00ffffff-no-rj</v>
      </c>
      <c r="G187" s="67"/>
      <c r="H187" s="71" t="s">
        <v>2597</v>
      </c>
      <c r="I187" s="72"/>
      <c r="J187" s="72" t="s">
        <v>159</v>
      </c>
      <c r="K187" s="71" t="s">
        <v>2597</v>
      </c>
      <c r="L187" s="75">
        <v>1</v>
      </c>
      <c r="M187" s="76">
        <v>7978.54052734375</v>
      </c>
      <c r="N187" s="76">
        <v>7931.5439453125</v>
      </c>
      <c r="O187" s="77"/>
      <c r="P187" s="78"/>
      <c r="Q187" s="78"/>
      <c r="R187" s="90"/>
      <c r="S187" s="49">
        <v>0</v>
      </c>
      <c r="T187" s="49">
        <v>1</v>
      </c>
      <c r="U187" s="50">
        <v>0</v>
      </c>
      <c r="V187" s="50">
        <v>0.220844</v>
      </c>
      <c r="W187" s="51"/>
      <c r="X187" s="51"/>
      <c r="Y187" s="51"/>
      <c r="Z187" s="50"/>
      <c r="AA187" s="73">
        <v>187</v>
      </c>
      <c r="AB187" s="73"/>
      <c r="AC187" s="74"/>
      <c r="AD187" s="81" t="s">
        <v>2597</v>
      </c>
      <c r="AE187" s="81"/>
      <c r="AF187" s="81"/>
      <c r="AG187" s="81"/>
      <c r="AH187" s="81"/>
      <c r="AI187" s="81" t="s">
        <v>1833</v>
      </c>
      <c r="AJ187" s="88">
        <v>44552.10068287037</v>
      </c>
      <c r="AK187" s="86" t="str">
        <f>HYPERLINK("https://yt3.ggpht.com/ytc/AIf8zZSjrUaltLoJh5AxH6sFkh6tZJTQZtab_Yy_qEyke-OhNg=s88-c-k-c0x00ffffff-no-rj")</f>
        <v>https://yt3.ggpht.com/ytc/AIf8zZSjrUaltLoJh5AxH6sFkh6tZJTQZtab_Yy_qEyke-OhNg=s88-c-k-c0x00ffffff-no-rj</v>
      </c>
      <c r="AL187" s="81">
        <v>0</v>
      </c>
      <c r="AM187" s="81">
        <v>0</v>
      </c>
      <c r="AN187" s="81">
        <v>0</v>
      </c>
      <c r="AO187" s="81" t="b">
        <v>0</v>
      </c>
      <c r="AP187" s="81">
        <v>0</v>
      </c>
      <c r="AQ187" s="81"/>
      <c r="AR187" s="81"/>
      <c r="AS187" s="81" t="s">
        <v>3378</v>
      </c>
      <c r="AT187" s="86" t="str">
        <f>HYPERLINK("https://www.youtube.com/channel/UCCo9fE29CyHVh9HFiT6ddaw")</f>
        <v>https://www.youtube.com/channel/UCCo9fE29CyHVh9HFiT6ddaw</v>
      </c>
      <c r="AU187" s="81" t="str">
        <f>REPLACE(INDEX(GroupVertices[Group],MATCH("~"&amp;Vertices[[#This Row],[Vertex]],GroupVertices[Vertex],0)),1,1,"")</f>
        <v>4</v>
      </c>
      <c r="AV187" s="49"/>
      <c r="AW187" s="49"/>
      <c r="AX187" s="49"/>
      <c r="AY187" s="49"/>
      <c r="AZ187" s="49"/>
      <c r="BA187" s="49"/>
      <c r="BB187" s="117" t="s">
        <v>3839</v>
      </c>
      <c r="BC187" s="117" t="s">
        <v>3839</v>
      </c>
      <c r="BD187" s="117" t="s">
        <v>4537</v>
      </c>
      <c r="BE187" s="117" t="s">
        <v>4537</v>
      </c>
      <c r="BF187" s="2"/>
      <c r="BG187" s="3"/>
      <c r="BH187" s="3"/>
      <c r="BI187" s="3"/>
      <c r="BJ187" s="3"/>
    </row>
    <row r="188" spans="1:62" ht="15">
      <c r="A188" s="66" t="s">
        <v>368</v>
      </c>
      <c r="B188" s="67"/>
      <c r="C188" s="67"/>
      <c r="D188" s="68">
        <v>50</v>
      </c>
      <c r="E188" s="70"/>
      <c r="F188" s="105" t="str">
        <f>HYPERLINK("https://yt3.ggpht.com/ytc/AIf8zZQeBHLwutvhmtQLFsgy4EfYUXZ6RJIqC5I49Q=s88-c-k-c0x00ffffff-no-rj")</f>
        <v>https://yt3.ggpht.com/ytc/AIf8zZQeBHLwutvhmtQLFsgy4EfYUXZ6RJIqC5I49Q=s88-c-k-c0x00ffffff-no-rj</v>
      </c>
      <c r="G188" s="67"/>
      <c r="H188" s="71" t="s">
        <v>2598</v>
      </c>
      <c r="I188" s="72"/>
      <c r="J188" s="72" t="s">
        <v>159</v>
      </c>
      <c r="K188" s="71" t="s">
        <v>2598</v>
      </c>
      <c r="L188" s="75">
        <v>1</v>
      </c>
      <c r="M188" s="76">
        <v>7643.70751953125</v>
      </c>
      <c r="N188" s="76">
        <v>7623.24951171875</v>
      </c>
      <c r="O188" s="77"/>
      <c r="P188" s="78"/>
      <c r="Q188" s="78"/>
      <c r="R188" s="90"/>
      <c r="S188" s="49">
        <v>0</v>
      </c>
      <c r="T188" s="49">
        <v>1</v>
      </c>
      <c r="U188" s="50">
        <v>0</v>
      </c>
      <c r="V188" s="50">
        <v>0.220844</v>
      </c>
      <c r="W188" s="51"/>
      <c r="X188" s="51"/>
      <c r="Y188" s="51"/>
      <c r="Z188" s="50"/>
      <c r="AA188" s="73">
        <v>188</v>
      </c>
      <c r="AB188" s="73"/>
      <c r="AC188" s="74"/>
      <c r="AD188" s="81" t="s">
        <v>2598</v>
      </c>
      <c r="AE188" s="81"/>
      <c r="AF188" s="81"/>
      <c r="AG188" s="81"/>
      <c r="AH188" s="81"/>
      <c r="AI188" s="81" t="s">
        <v>3265</v>
      </c>
      <c r="AJ188" s="88">
        <v>40818.48030092593</v>
      </c>
      <c r="AK188" s="86" t="str">
        <f>HYPERLINK("https://yt3.ggpht.com/ytc/AIf8zZQeBHLwutvhmtQLFsgy4EfYUXZ6RJIqC5I49Q=s88-c-k-c0x00ffffff-no-rj")</f>
        <v>https://yt3.ggpht.com/ytc/AIf8zZQeBHLwutvhmtQLFsgy4EfYUXZ6RJIqC5I49Q=s88-c-k-c0x00ffffff-no-rj</v>
      </c>
      <c r="AL188" s="81">
        <v>0</v>
      </c>
      <c r="AM188" s="81">
        <v>0</v>
      </c>
      <c r="AN188" s="81">
        <v>0</v>
      </c>
      <c r="AO188" s="81" t="b">
        <v>0</v>
      </c>
      <c r="AP188" s="81">
        <v>0</v>
      </c>
      <c r="AQ188" s="81"/>
      <c r="AR188" s="81"/>
      <c r="AS188" s="81" t="s">
        <v>3378</v>
      </c>
      <c r="AT188" s="86" t="str">
        <f>HYPERLINK("https://www.youtube.com/channel/UC4F2uxSzYF1LJlNcPvCFU-g")</f>
        <v>https://www.youtube.com/channel/UC4F2uxSzYF1LJlNcPvCFU-g</v>
      </c>
      <c r="AU188" s="81" t="str">
        <f>REPLACE(INDEX(GroupVertices[Group],MATCH("~"&amp;Vertices[[#This Row],[Vertex]],GroupVertices[Vertex],0)),1,1,"")</f>
        <v>4</v>
      </c>
      <c r="AV188" s="49"/>
      <c r="AW188" s="49"/>
      <c r="AX188" s="49"/>
      <c r="AY188" s="49"/>
      <c r="AZ188" s="49"/>
      <c r="BA188" s="49"/>
      <c r="BB188" s="117" t="s">
        <v>3840</v>
      </c>
      <c r="BC188" s="117" t="s">
        <v>3840</v>
      </c>
      <c r="BD188" s="117" t="s">
        <v>4538</v>
      </c>
      <c r="BE188" s="117" t="s">
        <v>4538</v>
      </c>
      <c r="BF188" s="2"/>
      <c r="BG188" s="3"/>
      <c r="BH188" s="3"/>
      <c r="BI188" s="3"/>
      <c r="BJ188" s="3"/>
    </row>
    <row r="189" spans="1:62" ht="15">
      <c r="A189" s="66" t="s">
        <v>369</v>
      </c>
      <c r="B189" s="67"/>
      <c r="C189" s="67"/>
      <c r="D189" s="68">
        <v>50</v>
      </c>
      <c r="E189" s="70"/>
      <c r="F189" s="105" t="str">
        <f>HYPERLINK("https://yt3.ggpht.com/jYVBTC8ZC-FFVMZEUfI_HFDbDjVwQeWYQD1LkAKtbOrSg7T5093119_7tAtwnaBdp2CpkQgJoKs=s88-c-k-c0x00ffffff-no-rj")</f>
        <v>https://yt3.ggpht.com/jYVBTC8ZC-FFVMZEUfI_HFDbDjVwQeWYQD1LkAKtbOrSg7T5093119_7tAtwnaBdp2CpkQgJoKs=s88-c-k-c0x00ffffff-no-rj</v>
      </c>
      <c r="G189" s="67"/>
      <c r="H189" s="71" t="s">
        <v>2599</v>
      </c>
      <c r="I189" s="72"/>
      <c r="J189" s="72" t="s">
        <v>159</v>
      </c>
      <c r="K189" s="71" t="s">
        <v>2599</v>
      </c>
      <c r="L189" s="75">
        <v>1</v>
      </c>
      <c r="M189" s="76">
        <v>9326.544921875</v>
      </c>
      <c r="N189" s="76">
        <v>6719.537109375</v>
      </c>
      <c r="O189" s="77"/>
      <c r="P189" s="78"/>
      <c r="Q189" s="78"/>
      <c r="R189" s="90"/>
      <c r="S189" s="49">
        <v>0</v>
      </c>
      <c r="T189" s="49">
        <v>1</v>
      </c>
      <c r="U189" s="50">
        <v>0</v>
      </c>
      <c r="V189" s="50">
        <v>0.220844</v>
      </c>
      <c r="W189" s="51"/>
      <c r="X189" s="51"/>
      <c r="Y189" s="51"/>
      <c r="Z189" s="50"/>
      <c r="AA189" s="73">
        <v>189</v>
      </c>
      <c r="AB189" s="73"/>
      <c r="AC189" s="74"/>
      <c r="AD189" s="81" t="s">
        <v>2599</v>
      </c>
      <c r="AE189" s="81" t="s">
        <v>3157</v>
      </c>
      <c r="AF189" s="81"/>
      <c r="AG189" s="81"/>
      <c r="AH189" s="81"/>
      <c r="AI189" s="81" t="s">
        <v>1835</v>
      </c>
      <c r="AJ189" s="88">
        <v>43008.747407407405</v>
      </c>
      <c r="AK189" s="86" t="str">
        <f>HYPERLINK("https://yt3.ggpht.com/jYVBTC8ZC-FFVMZEUfI_HFDbDjVwQeWYQD1LkAKtbOrSg7T5093119_7tAtwnaBdp2CpkQgJoKs=s88-c-k-c0x00ffffff-no-rj")</f>
        <v>https://yt3.ggpht.com/jYVBTC8ZC-FFVMZEUfI_HFDbDjVwQeWYQD1LkAKtbOrSg7T5093119_7tAtwnaBdp2CpkQgJoKs=s88-c-k-c0x00ffffff-no-rj</v>
      </c>
      <c r="AL189" s="81">
        <v>1075</v>
      </c>
      <c r="AM189" s="81">
        <v>0</v>
      </c>
      <c r="AN189" s="81">
        <v>6</v>
      </c>
      <c r="AO189" s="81" t="b">
        <v>0</v>
      </c>
      <c r="AP189" s="81">
        <v>2</v>
      </c>
      <c r="AQ189" s="81"/>
      <c r="AR189" s="81"/>
      <c r="AS189" s="81" t="s">
        <v>3378</v>
      </c>
      <c r="AT189" s="86" t="str">
        <f>HYPERLINK("https://www.youtube.com/channel/UCZ25_b3P3gJcMAVigVqZ_xg")</f>
        <v>https://www.youtube.com/channel/UCZ25_b3P3gJcMAVigVqZ_xg</v>
      </c>
      <c r="AU189" s="81" t="str">
        <f>REPLACE(INDEX(GroupVertices[Group],MATCH("~"&amp;Vertices[[#This Row],[Vertex]],GroupVertices[Vertex],0)),1,1,"")</f>
        <v>4</v>
      </c>
      <c r="AV189" s="49"/>
      <c r="AW189" s="49"/>
      <c r="AX189" s="49"/>
      <c r="AY189" s="49"/>
      <c r="AZ189" s="49"/>
      <c r="BA189" s="49"/>
      <c r="BB189" s="117" t="s">
        <v>3841</v>
      </c>
      <c r="BC189" s="117" t="s">
        <v>3841</v>
      </c>
      <c r="BD189" s="117" t="s">
        <v>4539</v>
      </c>
      <c r="BE189" s="117" t="s">
        <v>4539</v>
      </c>
      <c r="BF189" s="2"/>
      <c r="BG189" s="3"/>
      <c r="BH189" s="3"/>
      <c r="BI189" s="3"/>
      <c r="BJ189" s="3"/>
    </row>
    <row r="190" spans="1:62" ht="15">
      <c r="A190" s="66" t="s">
        <v>370</v>
      </c>
      <c r="B190" s="67"/>
      <c r="C190" s="67"/>
      <c r="D190" s="68">
        <v>50</v>
      </c>
      <c r="E190" s="70"/>
      <c r="F190" s="105" t="str">
        <f>HYPERLINK("https://yt3.ggpht.com/ytc/AIf8zZRXdkZkSRkfcFYWp9JFVVUtCaoI6r93Hl1X1Ny-117mn9UTIoYrS-IUCmY4Ho0Q=s88-c-k-c0x00ffffff-no-rj")</f>
        <v>https://yt3.ggpht.com/ytc/AIf8zZRXdkZkSRkfcFYWp9JFVVUtCaoI6r93Hl1X1Ny-117mn9UTIoYrS-IUCmY4Ho0Q=s88-c-k-c0x00ffffff-no-rj</v>
      </c>
      <c r="G190" s="67"/>
      <c r="H190" s="71" t="s">
        <v>2600</v>
      </c>
      <c r="I190" s="72"/>
      <c r="J190" s="72" t="s">
        <v>159</v>
      </c>
      <c r="K190" s="71" t="s">
        <v>2600</v>
      </c>
      <c r="L190" s="75">
        <v>1</v>
      </c>
      <c r="M190" s="76">
        <v>7948.56982421875</v>
      </c>
      <c r="N190" s="76">
        <v>5873.85205078125</v>
      </c>
      <c r="O190" s="77"/>
      <c r="P190" s="78"/>
      <c r="Q190" s="78"/>
      <c r="R190" s="90"/>
      <c r="S190" s="49">
        <v>0</v>
      </c>
      <c r="T190" s="49">
        <v>1</v>
      </c>
      <c r="U190" s="50">
        <v>0</v>
      </c>
      <c r="V190" s="50">
        <v>0.220844</v>
      </c>
      <c r="W190" s="51"/>
      <c r="X190" s="51"/>
      <c r="Y190" s="51"/>
      <c r="Z190" s="50"/>
      <c r="AA190" s="73">
        <v>190</v>
      </c>
      <c r="AB190" s="73"/>
      <c r="AC190" s="74"/>
      <c r="AD190" s="81" t="s">
        <v>2600</v>
      </c>
      <c r="AE190" s="81"/>
      <c r="AF190" s="81"/>
      <c r="AG190" s="81"/>
      <c r="AH190" s="81"/>
      <c r="AI190" s="81" t="s">
        <v>1836</v>
      </c>
      <c r="AJ190" s="88">
        <v>45084.02868055556</v>
      </c>
      <c r="AK190" s="86" t="str">
        <f>HYPERLINK("https://yt3.ggpht.com/ytc/AIf8zZRXdkZkSRkfcFYWp9JFVVUtCaoI6r93Hl1X1Ny-117mn9UTIoYrS-IUCmY4Ho0Q=s88-c-k-c0x00ffffff-no-rj")</f>
        <v>https://yt3.ggpht.com/ytc/AIf8zZRXdkZkSRkfcFYWp9JFVVUtCaoI6r93Hl1X1Ny-117mn9UTIoYrS-IUCmY4Ho0Q=s88-c-k-c0x00ffffff-no-rj</v>
      </c>
      <c r="AL190" s="81">
        <v>0</v>
      </c>
      <c r="AM190" s="81">
        <v>0</v>
      </c>
      <c r="AN190" s="81">
        <v>0</v>
      </c>
      <c r="AO190" s="81" t="b">
        <v>0</v>
      </c>
      <c r="AP190" s="81">
        <v>0</v>
      </c>
      <c r="AQ190" s="81"/>
      <c r="AR190" s="81"/>
      <c r="AS190" s="81" t="s">
        <v>3378</v>
      </c>
      <c r="AT190" s="86" t="str">
        <f>HYPERLINK("https://www.youtube.com/channel/UCC3tqYw2EC2sJJB9dstJukQ")</f>
        <v>https://www.youtube.com/channel/UCC3tqYw2EC2sJJB9dstJukQ</v>
      </c>
      <c r="AU190" s="81" t="str">
        <f>REPLACE(INDEX(GroupVertices[Group],MATCH("~"&amp;Vertices[[#This Row],[Vertex]],GroupVertices[Vertex],0)),1,1,"")</f>
        <v>4</v>
      </c>
      <c r="AV190" s="49"/>
      <c r="AW190" s="49"/>
      <c r="AX190" s="49"/>
      <c r="AY190" s="49"/>
      <c r="AZ190" s="49"/>
      <c r="BA190" s="49"/>
      <c r="BB190" s="117" t="s">
        <v>3842</v>
      </c>
      <c r="BC190" s="117" t="s">
        <v>3842</v>
      </c>
      <c r="BD190" s="117" t="s">
        <v>4540</v>
      </c>
      <c r="BE190" s="117" t="s">
        <v>4540</v>
      </c>
      <c r="BF190" s="2"/>
      <c r="BG190" s="3"/>
      <c r="BH190" s="3"/>
      <c r="BI190" s="3"/>
      <c r="BJ190" s="3"/>
    </row>
    <row r="191" spans="1:62" ht="15">
      <c r="A191" s="66" t="s">
        <v>371</v>
      </c>
      <c r="B191" s="67"/>
      <c r="C191" s="67"/>
      <c r="D191" s="68">
        <v>50</v>
      </c>
      <c r="E191" s="70"/>
      <c r="F191" s="105" t="str">
        <f>HYPERLINK("https://yt3.ggpht.com/ytc/AIf8zZQx5fKRssmEHHqjyqqCjma3Q-5o_BScrMnjcV6EUSUGqbFeWTcDpOUq6yP9wTLg=s88-c-k-c0x00ffffff-no-rj")</f>
        <v>https://yt3.ggpht.com/ytc/AIf8zZQx5fKRssmEHHqjyqqCjma3Q-5o_BScrMnjcV6EUSUGqbFeWTcDpOUq6yP9wTLg=s88-c-k-c0x00ffffff-no-rj</v>
      </c>
      <c r="G191" s="67"/>
      <c r="H191" s="71" t="s">
        <v>2601</v>
      </c>
      <c r="I191" s="72"/>
      <c r="J191" s="72" t="s">
        <v>159</v>
      </c>
      <c r="K191" s="71" t="s">
        <v>2601</v>
      </c>
      <c r="L191" s="75">
        <v>1</v>
      </c>
      <c r="M191" s="76">
        <v>9415.6982421875</v>
      </c>
      <c r="N191" s="76">
        <v>8386.7802734375</v>
      </c>
      <c r="O191" s="77"/>
      <c r="P191" s="78"/>
      <c r="Q191" s="78"/>
      <c r="R191" s="90"/>
      <c r="S191" s="49">
        <v>0</v>
      </c>
      <c r="T191" s="49">
        <v>1</v>
      </c>
      <c r="U191" s="50">
        <v>0</v>
      </c>
      <c r="V191" s="50">
        <v>0.220844</v>
      </c>
      <c r="W191" s="51"/>
      <c r="X191" s="51"/>
      <c r="Y191" s="51"/>
      <c r="Z191" s="50"/>
      <c r="AA191" s="73">
        <v>191</v>
      </c>
      <c r="AB191" s="73"/>
      <c r="AC191" s="74"/>
      <c r="AD191" s="81" t="s">
        <v>2601</v>
      </c>
      <c r="AE191" s="81"/>
      <c r="AF191" s="81"/>
      <c r="AG191" s="81"/>
      <c r="AH191" s="81"/>
      <c r="AI191" s="81" t="s">
        <v>3266</v>
      </c>
      <c r="AJ191" s="88">
        <v>43350.05069444444</v>
      </c>
      <c r="AK191" s="86" t="str">
        <f>HYPERLINK("https://yt3.ggpht.com/ytc/AIf8zZQx5fKRssmEHHqjyqqCjma3Q-5o_BScrMnjcV6EUSUGqbFeWTcDpOUq6yP9wTLg=s88-c-k-c0x00ffffff-no-rj")</f>
        <v>https://yt3.ggpht.com/ytc/AIf8zZQx5fKRssmEHHqjyqqCjma3Q-5o_BScrMnjcV6EUSUGqbFeWTcDpOUq6yP9wTLg=s88-c-k-c0x00ffffff-no-rj</v>
      </c>
      <c r="AL191" s="81">
        <v>0</v>
      </c>
      <c r="AM191" s="81">
        <v>0</v>
      </c>
      <c r="AN191" s="81">
        <v>0</v>
      </c>
      <c r="AO191" s="81" t="b">
        <v>0</v>
      </c>
      <c r="AP191" s="81">
        <v>0</v>
      </c>
      <c r="AQ191" s="81"/>
      <c r="AR191" s="81"/>
      <c r="AS191" s="81" t="s">
        <v>3378</v>
      </c>
      <c r="AT191" s="86" t="str">
        <f>HYPERLINK("https://www.youtube.com/channel/UCqP6kKRGEsoiRlh__LMUFQQ")</f>
        <v>https://www.youtube.com/channel/UCqP6kKRGEsoiRlh__LMUFQQ</v>
      </c>
      <c r="AU191" s="81" t="str">
        <f>REPLACE(INDEX(GroupVertices[Group],MATCH("~"&amp;Vertices[[#This Row],[Vertex]],GroupVertices[Vertex],0)),1,1,"")</f>
        <v>4</v>
      </c>
      <c r="AV191" s="49"/>
      <c r="AW191" s="49"/>
      <c r="AX191" s="49"/>
      <c r="AY191" s="49"/>
      <c r="AZ191" s="49"/>
      <c r="BA191" s="49"/>
      <c r="BB191" s="117" t="s">
        <v>3843</v>
      </c>
      <c r="BC191" s="117" t="s">
        <v>3843</v>
      </c>
      <c r="BD191" s="117" t="s">
        <v>4541</v>
      </c>
      <c r="BE191" s="117" t="s">
        <v>4541</v>
      </c>
      <c r="BF191" s="2"/>
      <c r="BG191" s="3"/>
      <c r="BH191" s="3"/>
      <c r="BI191" s="3"/>
      <c r="BJ191" s="3"/>
    </row>
    <row r="192" spans="1:62" ht="15">
      <c r="A192" s="66" t="s">
        <v>372</v>
      </c>
      <c r="B192" s="67"/>
      <c r="C192" s="67"/>
      <c r="D192" s="68">
        <v>50</v>
      </c>
      <c r="E192" s="70"/>
      <c r="F192" s="105" t="str">
        <f>HYPERLINK("https://yt3.ggpht.com/ytc/AIf8zZRiqMFMVaefbmJCCYunPfNfU4xh1hUOfuh-YA=s88-c-k-c0x00ffffff-no-rj")</f>
        <v>https://yt3.ggpht.com/ytc/AIf8zZRiqMFMVaefbmJCCYunPfNfU4xh1hUOfuh-YA=s88-c-k-c0x00ffffff-no-rj</v>
      </c>
      <c r="G192" s="67"/>
      <c r="H192" s="71" t="s">
        <v>2602</v>
      </c>
      <c r="I192" s="72"/>
      <c r="J192" s="72" t="s">
        <v>159</v>
      </c>
      <c r="K192" s="71" t="s">
        <v>2602</v>
      </c>
      <c r="L192" s="75">
        <v>1</v>
      </c>
      <c r="M192" s="76">
        <v>9236.580078125</v>
      </c>
      <c r="N192" s="76">
        <v>7335.099609375</v>
      </c>
      <c r="O192" s="77"/>
      <c r="P192" s="78"/>
      <c r="Q192" s="78"/>
      <c r="R192" s="90"/>
      <c r="S192" s="49">
        <v>0</v>
      </c>
      <c r="T192" s="49">
        <v>1</v>
      </c>
      <c r="U192" s="50">
        <v>0</v>
      </c>
      <c r="V192" s="50">
        <v>0.220844</v>
      </c>
      <c r="W192" s="51"/>
      <c r="X192" s="51"/>
      <c r="Y192" s="51"/>
      <c r="Z192" s="50"/>
      <c r="AA192" s="73">
        <v>192</v>
      </c>
      <c r="AB192" s="73"/>
      <c r="AC192" s="74"/>
      <c r="AD192" s="81" t="s">
        <v>2602</v>
      </c>
      <c r="AE192" s="81"/>
      <c r="AF192" s="81"/>
      <c r="AG192" s="81"/>
      <c r="AH192" s="81"/>
      <c r="AI192" s="81" t="s">
        <v>1838</v>
      </c>
      <c r="AJ192" s="88">
        <v>40961.32766203704</v>
      </c>
      <c r="AK192" s="86" t="str">
        <f>HYPERLINK("https://yt3.ggpht.com/ytc/AIf8zZRiqMFMVaefbmJCCYunPfNfU4xh1hUOfuh-YA=s88-c-k-c0x00ffffff-no-rj")</f>
        <v>https://yt3.ggpht.com/ytc/AIf8zZRiqMFMVaefbmJCCYunPfNfU4xh1hUOfuh-YA=s88-c-k-c0x00ffffff-no-rj</v>
      </c>
      <c r="AL192" s="81">
        <v>0</v>
      </c>
      <c r="AM192" s="81">
        <v>0</v>
      </c>
      <c r="AN192" s="81">
        <v>0</v>
      </c>
      <c r="AO192" s="81" t="b">
        <v>0</v>
      </c>
      <c r="AP192" s="81">
        <v>0</v>
      </c>
      <c r="AQ192" s="81"/>
      <c r="AR192" s="81"/>
      <c r="AS192" s="81" t="s">
        <v>3378</v>
      </c>
      <c r="AT192" s="86" t="str">
        <f>HYPERLINK("https://www.youtube.com/channel/UCnJjCc9m1GPnareHU6-MXmA")</f>
        <v>https://www.youtube.com/channel/UCnJjCc9m1GPnareHU6-MXmA</v>
      </c>
      <c r="AU192" s="81" t="str">
        <f>REPLACE(INDEX(GroupVertices[Group],MATCH("~"&amp;Vertices[[#This Row],[Vertex]],GroupVertices[Vertex],0)),1,1,"")</f>
        <v>4</v>
      </c>
      <c r="AV192" s="49"/>
      <c r="AW192" s="49"/>
      <c r="AX192" s="49"/>
      <c r="AY192" s="49"/>
      <c r="AZ192" s="49"/>
      <c r="BA192" s="49"/>
      <c r="BB192" s="117" t="s">
        <v>3844</v>
      </c>
      <c r="BC192" s="117" t="s">
        <v>3844</v>
      </c>
      <c r="BD192" s="117" t="s">
        <v>4542</v>
      </c>
      <c r="BE192" s="117" t="s">
        <v>4542</v>
      </c>
      <c r="BF192" s="2"/>
      <c r="BG192" s="3"/>
      <c r="BH192" s="3"/>
      <c r="BI192" s="3"/>
      <c r="BJ192" s="3"/>
    </row>
    <row r="193" spans="1:62" ht="15">
      <c r="A193" s="66" t="s">
        <v>373</v>
      </c>
      <c r="B193" s="67"/>
      <c r="C193" s="67"/>
      <c r="D193" s="68">
        <v>50</v>
      </c>
      <c r="E193" s="70"/>
      <c r="F193" s="105" t="str">
        <f>HYPERLINK("https://yt3.ggpht.com/ytc/AIf8zZRb_90jpbiGMGNMlGmhrUMZn0RP-otcaedu9w=s88-c-k-c0x00ffffff-no-rj")</f>
        <v>https://yt3.ggpht.com/ytc/AIf8zZRb_90jpbiGMGNMlGmhrUMZn0RP-otcaedu9w=s88-c-k-c0x00ffffff-no-rj</v>
      </c>
      <c r="G193" s="67"/>
      <c r="H193" s="71" t="s">
        <v>2603</v>
      </c>
      <c r="I193" s="72"/>
      <c r="J193" s="72" t="s">
        <v>159</v>
      </c>
      <c r="K193" s="71" t="s">
        <v>2603</v>
      </c>
      <c r="L193" s="75">
        <v>1</v>
      </c>
      <c r="M193" s="76">
        <v>8487.9296875</v>
      </c>
      <c r="N193" s="76">
        <v>9306.65234375</v>
      </c>
      <c r="O193" s="77"/>
      <c r="P193" s="78"/>
      <c r="Q193" s="78"/>
      <c r="R193" s="90"/>
      <c r="S193" s="49">
        <v>0</v>
      </c>
      <c r="T193" s="49">
        <v>1</v>
      </c>
      <c r="U193" s="50">
        <v>0</v>
      </c>
      <c r="V193" s="50">
        <v>0.220844</v>
      </c>
      <c r="W193" s="51"/>
      <c r="X193" s="51"/>
      <c r="Y193" s="51"/>
      <c r="Z193" s="50"/>
      <c r="AA193" s="73">
        <v>193</v>
      </c>
      <c r="AB193" s="73"/>
      <c r="AC193" s="74"/>
      <c r="AD193" s="81" t="s">
        <v>2603</v>
      </c>
      <c r="AE193" s="81"/>
      <c r="AF193" s="81"/>
      <c r="AG193" s="81"/>
      <c r="AH193" s="81"/>
      <c r="AI193" s="81" t="s">
        <v>1839</v>
      </c>
      <c r="AJ193" s="88">
        <v>40823.10322916666</v>
      </c>
      <c r="AK193" s="86" t="str">
        <f>HYPERLINK("https://yt3.ggpht.com/ytc/AIf8zZRb_90jpbiGMGNMlGmhrUMZn0RP-otcaedu9w=s88-c-k-c0x00ffffff-no-rj")</f>
        <v>https://yt3.ggpht.com/ytc/AIf8zZRb_90jpbiGMGNMlGmhrUMZn0RP-otcaedu9w=s88-c-k-c0x00ffffff-no-rj</v>
      </c>
      <c r="AL193" s="81">
        <v>0</v>
      </c>
      <c r="AM193" s="81">
        <v>0</v>
      </c>
      <c r="AN193" s="81">
        <v>1</v>
      </c>
      <c r="AO193" s="81" t="b">
        <v>0</v>
      </c>
      <c r="AP193" s="81">
        <v>0</v>
      </c>
      <c r="AQ193" s="81"/>
      <c r="AR193" s="81"/>
      <c r="AS193" s="81" t="s">
        <v>3378</v>
      </c>
      <c r="AT193" s="86" t="str">
        <f>HYPERLINK("https://www.youtube.com/channel/UC5zFejAVHMpIF4a4uWuBa-A")</f>
        <v>https://www.youtube.com/channel/UC5zFejAVHMpIF4a4uWuBa-A</v>
      </c>
      <c r="AU193" s="81" t="str">
        <f>REPLACE(INDEX(GroupVertices[Group],MATCH("~"&amp;Vertices[[#This Row],[Vertex]],GroupVertices[Vertex],0)),1,1,"")</f>
        <v>4</v>
      </c>
      <c r="AV193" s="49"/>
      <c r="AW193" s="49"/>
      <c r="AX193" s="49"/>
      <c r="AY193" s="49"/>
      <c r="AZ193" s="49"/>
      <c r="BA193" s="49"/>
      <c r="BB193" s="117" t="s">
        <v>3845</v>
      </c>
      <c r="BC193" s="117" t="s">
        <v>3845</v>
      </c>
      <c r="BD193" s="117" t="s">
        <v>4543</v>
      </c>
      <c r="BE193" s="117" t="s">
        <v>4543</v>
      </c>
      <c r="BF193" s="2"/>
      <c r="BG193" s="3"/>
      <c r="BH193" s="3"/>
      <c r="BI193" s="3"/>
      <c r="BJ193" s="3"/>
    </row>
    <row r="194" spans="1:62" ht="15">
      <c r="A194" s="66" t="s">
        <v>374</v>
      </c>
      <c r="B194" s="67"/>
      <c r="C194" s="67"/>
      <c r="D194" s="68">
        <v>50</v>
      </c>
      <c r="E194" s="70"/>
      <c r="F194" s="105" t="str">
        <f>HYPERLINK("https://yt3.ggpht.com/ytc/AIf8zZQmM6OqZYhIQI699qf9JOVVJaZmBJTDdH3uTEMY=s88-c-k-c0x00ffffff-no-rj")</f>
        <v>https://yt3.ggpht.com/ytc/AIf8zZQmM6OqZYhIQI699qf9JOVVJaZmBJTDdH3uTEMY=s88-c-k-c0x00ffffff-no-rj</v>
      </c>
      <c r="G194" s="67"/>
      <c r="H194" s="71" t="s">
        <v>2604</v>
      </c>
      <c r="I194" s="72"/>
      <c r="J194" s="72" t="s">
        <v>159</v>
      </c>
      <c r="K194" s="71" t="s">
        <v>2604</v>
      </c>
      <c r="L194" s="75">
        <v>1</v>
      </c>
      <c r="M194" s="76">
        <v>6974.330078125</v>
      </c>
      <c r="N194" s="76">
        <v>7909.7802734375</v>
      </c>
      <c r="O194" s="77"/>
      <c r="P194" s="78"/>
      <c r="Q194" s="78"/>
      <c r="R194" s="90"/>
      <c r="S194" s="49">
        <v>0</v>
      </c>
      <c r="T194" s="49">
        <v>1</v>
      </c>
      <c r="U194" s="50">
        <v>0</v>
      </c>
      <c r="V194" s="50">
        <v>0.220844</v>
      </c>
      <c r="W194" s="51"/>
      <c r="X194" s="51"/>
      <c r="Y194" s="51"/>
      <c r="Z194" s="50"/>
      <c r="AA194" s="73">
        <v>194</v>
      </c>
      <c r="AB194" s="73"/>
      <c r="AC194" s="74"/>
      <c r="AD194" s="81" t="s">
        <v>2604</v>
      </c>
      <c r="AE194" s="81"/>
      <c r="AF194" s="81"/>
      <c r="AG194" s="81"/>
      <c r="AH194" s="81"/>
      <c r="AI194" s="81" t="s">
        <v>1840</v>
      </c>
      <c r="AJ194" s="88">
        <v>44185.987280092595</v>
      </c>
      <c r="AK194" s="86" t="str">
        <f>HYPERLINK("https://yt3.ggpht.com/ytc/AIf8zZQmM6OqZYhIQI699qf9JOVVJaZmBJTDdH3uTEMY=s88-c-k-c0x00ffffff-no-rj")</f>
        <v>https://yt3.ggpht.com/ytc/AIf8zZQmM6OqZYhIQI699qf9JOVVJaZmBJTDdH3uTEMY=s88-c-k-c0x00ffffff-no-rj</v>
      </c>
      <c r="AL194" s="81">
        <v>0</v>
      </c>
      <c r="AM194" s="81">
        <v>0</v>
      </c>
      <c r="AN194" s="81">
        <v>2</v>
      </c>
      <c r="AO194" s="81" t="b">
        <v>0</v>
      </c>
      <c r="AP194" s="81">
        <v>0</v>
      </c>
      <c r="AQ194" s="81"/>
      <c r="AR194" s="81"/>
      <c r="AS194" s="81" t="s">
        <v>3378</v>
      </c>
      <c r="AT194" s="86" t="str">
        <f>HYPERLINK("https://www.youtube.com/channel/UCZOk8X-OmWTGX4wM4jfhtZg")</f>
        <v>https://www.youtube.com/channel/UCZOk8X-OmWTGX4wM4jfhtZg</v>
      </c>
      <c r="AU194" s="81" t="str">
        <f>REPLACE(INDEX(GroupVertices[Group],MATCH("~"&amp;Vertices[[#This Row],[Vertex]],GroupVertices[Vertex],0)),1,1,"")</f>
        <v>4</v>
      </c>
      <c r="AV194" s="49"/>
      <c r="AW194" s="49"/>
      <c r="AX194" s="49"/>
      <c r="AY194" s="49"/>
      <c r="AZ194" s="49"/>
      <c r="BA194" s="49"/>
      <c r="BB194" s="117" t="s">
        <v>3846</v>
      </c>
      <c r="BC194" s="117" t="s">
        <v>3846</v>
      </c>
      <c r="BD194" s="117" t="s">
        <v>4544</v>
      </c>
      <c r="BE194" s="117" t="s">
        <v>4544</v>
      </c>
      <c r="BF194" s="2"/>
      <c r="BG194" s="3"/>
      <c r="BH194" s="3"/>
      <c r="BI194" s="3"/>
      <c r="BJ194" s="3"/>
    </row>
    <row r="195" spans="1:62" ht="15">
      <c r="A195" s="66" t="s">
        <v>375</v>
      </c>
      <c r="B195" s="67"/>
      <c r="C195" s="67"/>
      <c r="D195" s="68">
        <v>50</v>
      </c>
      <c r="E195" s="70"/>
      <c r="F195" s="105" t="str">
        <f>HYPERLINK("https://yt3.ggpht.com/ytc/AIf8zZS3x3e839R655i1XoiV0lPXO0zbC1AMkI033A=s88-c-k-c0x00ffffff-no-rj")</f>
        <v>https://yt3.ggpht.com/ytc/AIf8zZS3x3e839R655i1XoiV0lPXO0zbC1AMkI033A=s88-c-k-c0x00ffffff-no-rj</v>
      </c>
      <c r="G195" s="67"/>
      <c r="H195" s="71" t="s">
        <v>2605</v>
      </c>
      <c r="I195" s="72"/>
      <c r="J195" s="72" t="s">
        <v>159</v>
      </c>
      <c r="K195" s="71" t="s">
        <v>2605</v>
      </c>
      <c r="L195" s="75">
        <v>1</v>
      </c>
      <c r="M195" s="76">
        <v>7014.2958984375</v>
      </c>
      <c r="N195" s="76">
        <v>7368.1904296875</v>
      </c>
      <c r="O195" s="77"/>
      <c r="P195" s="78"/>
      <c r="Q195" s="78"/>
      <c r="R195" s="90"/>
      <c r="S195" s="49">
        <v>0</v>
      </c>
      <c r="T195" s="49">
        <v>1</v>
      </c>
      <c r="U195" s="50">
        <v>0</v>
      </c>
      <c r="V195" s="50">
        <v>0.220844</v>
      </c>
      <c r="W195" s="51"/>
      <c r="X195" s="51"/>
      <c r="Y195" s="51"/>
      <c r="Z195" s="50"/>
      <c r="AA195" s="73">
        <v>195</v>
      </c>
      <c r="AB195" s="73"/>
      <c r="AC195" s="74"/>
      <c r="AD195" s="81" t="s">
        <v>2605</v>
      </c>
      <c r="AE195" s="81"/>
      <c r="AF195" s="81"/>
      <c r="AG195" s="81"/>
      <c r="AH195" s="81"/>
      <c r="AI195" s="81" t="s">
        <v>1841</v>
      </c>
      <c r="AJ195" s="88">
        <v>43855.25828703704</v>
      </c>
      <c r="AK195" s="86" t="str">
        <f>HYPERLINK("https://yt3.ggpht.com/ytc/AIf8zZS3x3e839R655i1XoiV0lPXO0zbC1AMkI033A=s88-c-k-c0x00ffffff-no-rj")</f>
        <v>https://yt3.ggpht.com/ytc/AIf8zZS3x3e839R655i1XoiV0lPXO0zbC1AMkI033A=s88-c-k-c0x00ffffff-no-rj</v>
      </c>
      <c r="AL195" s="81">
        <v>0</v>
      </c>
      <c r="AM195" s="81">
        <v>0</v>
      </c>
      <c r="AN195" s="81">
        <v>1</v>
      </c>
      <c r="AO195" s="81" t="b">
        <v>0</v>
      </c>
      <c r="AP195" s="81">
        <v>0</v>
      </c>
      <c r="AQ195" s="81"/>
      <c r="AR195" s="81"/>
      <c r="AS195" s="81" t="s">
        <v>3378</v>
      </c>
      <c r="AT195" s="86" t="str">
        <f>HYPERLINK("https://www.youtube.com/channel/UCsF-ePuuMJXoM4pbckYct3g")</f>
        <v>https://www.youtube.com/channel/UCsF-ePuuMJXoM4pbckYct3g</v>
      </c>
      <c r="AU195" s="81" t="str">
        <f>REPLACE(INDEX(GroupVertices[Group],MATCH("~"&amp;Vertices[[#This Row],[Vertex]],GroupVertices[Vertex],0)),1,1,"")</f>
        <v>4</v>
      </c>
      <c r="AV195" s="49"/>
      <c r="AW195" s="49"/>
      <c r="AX195" s="49"/>
      <c r="AY195" s="49"/>
      <c r="AZ195" s="49"/>
      <c r="BA195" s="49"/>
      <c r="BB195" s="117" t="s">
        <v>3847</v>
      </c>
      <c r="BC195" s="117" t="s">
        <v>3847</v>
      </c>
      <c r="BD195" s="117" t="s">
        <v>4545</v>
      </c>
      <c r="BE195" s="117" t="s">
        <v>4545</v>
      </c>
      <c r="BF195" s="2"/>
      <c r="BG195" s="3"/>
      <c r="BH195" s="3"/>
      <c r="BI195" s="3"/>
      <c r="BJ195" s="3"/>
    </row>
    <row r="196" spans="1:62" ht="15">
      <c r="A196" s="66" t="s">
        <v>376</v>
      </c>
      <c r="B196" s="67"/>
      <c r="C196" s="67"/>
      <c r="D196" s="68">
        <v>50</v>
      </c>
      <c r="E196" s="70"/>
      <c r="F196" s="105" t="str">
        <f>HYPERLINK("https://yt3.ggpht.com/ytc/AIf8zZQ0IKDXa1YgpN7ike1zAYP1GRZJltB-3MGAu5wT=s88-c-k-c0x00ffffff-no-rj")</f>
        <v>https://yt3.ggpht.com/ytc/AIf8zZQ0IKDXa1YgpN7ike1zAYP1GRZJltB-3MGAu5wT=s88-c-k-c0x00ffffff-no-rj</v>
      </c>
      <c r="G196" s="67"/>
      <c r="H196" s="71" t="s">
        <v>2606</v>
      </c>
      <c r="I196" s="72"/>
      <c r="J196" s="72" t="s">
        <v>159</v>
      </c>
      <c r="K196" s="71" t="s">
        <v>2606</v>
      </c>
      <c r="L196" s="75">
        <v>1</v>
      </c>
      <c r="M196" s="76">
        <v>7500.5068359375</v>
      </c>
      <c r="N196" s="76">
        <v>6850.13525390625</v>
      </c>
      <c r="O196" s="77"/>
      <c r="P196" s="78"/>
      <c r="Q196" s="78"/>
      <c r="R196" s="90"/>
      <c r="S196" s="49">
        <v>0</v>
      </c>
      <c r="T196" s="49">
        <v>1</v>
      </c>
      <c r="U196" s="50">
        <v>0</v>
      </c>
      <c r="V196" s="50">
        <v>0.220844</v>
      </c>
      <c r="W196" s="51"/>
      <c r="X196" s="51"/>
      <c r="Y196" s="51"/>
      <c r="Z196" s="50"/>
      <c r="AA196" s="73">
        <v>196</v>
      </c>
      <c r="AB196" s="73"/>
      <c r="AC196" s="74"/>
      <c r="AD196" s="81" t="s">
        <v>2606</v>
      </c>
      <c r="AE196" s="81"/>
      <c r="AF196" s="81"/>
      <c r="AG196" s="81"/>
      <c r="AH196" s="81"/>
      <c r="AI196" s="81" t="s">
        <v>3267</v>
      </c>
      <c r="AJ196" s="88">
        <v>39652.05453703704</v>
      </c>
      <c r="AK196" s="86" t="str">
        <f>HYPERLINK("https://yt3.ggpht.com/ytc/AIf8zZQ0IKDXa1YgpN7ike1zAYP1GRZJltB-3MGAu5wT=s88-c-k-c0x00ffffff-no-rj")</f>
        <v>https://yt3.ggpht.com/ytc/AIf8zZQ0IKDXa1YgpN7ike1zAYP1GRZJltB-3MGAu5wT=s88-c-k-c0x00ffffff-no-rj</v>
      </c>
      <c r="AL196" s="81">
        <v>0</v>
      </c>
      <c r="AM196" s="81">
        <v>0</v>
      </c>
      <c r="AN196" s="81">
        <v>1</v>
      </c>
      <c r="AO196" s="81" t="b">
        <v>0</v>
      </c>
      <c r="AP196" s="81">
        <v>0</v>
      </c>
      <c r="AQ196" s="81"/>
      <c r="AR196" s="81"/>
      <c r="AS196" s="81" t="s">
        <v>3378</v>
      </c>
      <c r="AT196" s="86" t="str">
        <f>HYPERLINK("https://www.youtube.com/channel/UC7vLfMNaK8tQ17PT2QG_VHQ")</f>
        <v>https://www.youtube.com/channel/UC7vLfMNaK8tQ17PT2QG_VHQ</v>
      </c>
      <c r="AU196" s="81" t="str">
        <f>REPLACE(INDEX(GroupVertices[Group],MATCH("~"&amp;Vertices[[#This Row],[Vertex]],GroupVertices[Vertex],0)),1,1,"")</f>
        <v>4</v>
      </c>
      <c r="AV196" s="49"/>
      <c r="AW196" s="49"/>
      <c r="AX196" s="49"/>
      <c r="AY196" s="49"/>
      <c r="AZ196" s="49"/>
      <c r="BA196" s="49"/>
      <c r="BB196" s="117" t="s">
        <v>3848</v>
      </c>
      <c r="BC196" s="117" t="s">
        <v>3848</v>
      </c>
      <c r="BD196" s="117" t="s">
        <v>4546</v>
      </c>
      <c r="BE196" s="117" t="s">
        <v>4546</v>
      </c>
      <c r="BF196" s="2"/>
      <c r="BG196" s="3"/>
      <c r="BH196" s="3"/>
      <c r="BI196" s="3"/>
      <c r="BJ196" s="3"/>
    </row>
    <row r="197" spans="1:62" ht="15">
      <c r="A197" s="66" t="s">
        <v>377</v>
      </c>
      <c r="B197" s="67"/>
      <c r="C197" s="67"/>
      <c r="D197" s="68">
        <v>50</v>
      </c>
      <c r="E197" s="70"/>
      <c r="F197" s="105" t="str">
        <f>HYPERLINK("https://yt3.ggpht.com/ytc/AIf8zZQuBs73Vwsw0wnt1k2FNOSmjfEno6Zs6_rwemUCWBNAwDL4fuJ9XAOw7BmsiCBU=s88-c-k-c0x00ffffff-no-rj")</f>
        <v>https://yt3.ggpht.com/ytc/AIf8zZQuBs73Vwsw0wnt1k2FNOSmjfEno6Zs6_rwemUCWBNAwDL4fuJ9XAOw7BmsiCBU=s88-c-k-c0x00ffffff-no-rj</v>
      </c>
      <c r="G197" s="67"/>
      <c r="H197" s="71" t="s">
        <v>2607</v>
      </c>
      <c r="I197" s="72"/>
      <c r="J197" s="72" t="s">
        <v>159</v>
      </c>
      <c r="K197" s="71" t="s">
        <v>2607</v>
      </c>
      <c r="L197" s="75">
        <v>1</v>
      </c>
      <c r="M197" s="76">
        <v>9759.3671875</v>
      </c>
      <c r="N197" s="76">
        <v>6951.53466796875</v>
      </c>
      <c r="O197" s="77"/>
      <c r="P197" s="78"/>
      <c r="Q197" s="78"/>
      <c r="R197" s="90"/>
      <c r="S197" s="49">
        <v>0</v>
      </c>
      <c r="T197" s="49">
        <v>1</v>
      </c>
      <c r="U197" s="50">
        <v>0</v>
      </c>
      <c r="V197" s="50">
        <v>0.220844</v>
      </c>
      <c r="W197" s="51"/>
      <c r="X197" s="51"/>
      <c r="Y197" s="51"/>
      <c r="Z197" s="50"/>
      <c r="AA197" s="73">
        <v>197</v>
      </c>
      <c r="AB197" s="73"/>
      <c r="AC197" s="74"/>
      <c r="AD197" s="81" t="s">
        <v>2607</v>
      </c>
      <c r="AE197" s="81"/>
      <c r="AF197" s="81"/>
      <c r="AG197" s="81"/>
      <c r="AH197" s="81"/>
      <c r="AI197" s="81" t="s">
        <v>1843</v>
      </c>
      <c r="AJ197" s="88">
        <v>44590.26918981481</v>
      </c>
      <c r="AK197" s="86" t="str">
        <f>HYPERLINK("https://yt3.ggpht.com/ytc/AIf8zZQuBs73Vwsw0wnt1k2FNOSmjfEno6Zs6_rwemUCWBNAwDL4fuJ9XAOw7BmsiCBU=s88-c-k-c0x00ffffff-no-rj")</f>
        <v>https://yt3.ggpht.com/ytc/AIf8zZQuBs73Vwsw0wnt1k2FNOSmjfEno6Zs6_rwemUCWBNAwDL4fuJ9XAOw7BmsiCBU=s88-c-k-c0x00ffffff-no-rj</v>
      </c>
      <c r="AL197" s="81">
        <v>0</v>
      </c>
      <c r="AM197" s="81">
        <v>0</v>
      </c>
      <c r="AN197" s="81">
        <v>0</v>
      </c>
      <c r="AO197" s="81" t="b">
        <v>0</v>
      </c>
      <c r="AP197" s="81">
        <v>0</v>
      </c>
      <c r="AQ197" s="81"/>
      <c r="AR197" s="81"/>
      <c r="AS197" s="81" t="s">
        <v>3378</v>
      </c>
      <c r="AT197" s="86" t="str">
        <f>HYPERLINK("https://www.youtube.com/channel/UClbPjfgMQLDGTTazvQRSt1A")</f>
        <v>https://www.youtube.com/channel/UClbPjfgMQLDGTTazvQRSt1A</v>
      </c>
      <c r="AU197" s="81" t="str">
        <f>REPLACE(INDEX(GroupVertices[Group],MATCH("~"&amp;Vertices[[#This Row],[Vertex]],GroupVertices[Vertex],0)),1,1,"")</f>
        <v>4</v>
      </c>
      <c r="AV197" s="49"/>
      <c r="AW197" s="49"/>
      <c r="AX197" s="49"/>
      <c r="AY197" s="49"/>
      <c r="AZ197" s="49"/>
      <c r="BA197" s="49"/>
      <c r="BB197" s="117" t="s">
        <v>3849</v>
      </c>
      <c r="BC197" s="117" t="s">
        <v>3849</v>
      </c>
      <c r="BD197" s="117" t="s">
        <v>4547</v>
      </c>
      <c r="BE197" s="117" t="s">
        <v>4547</v>
      </c>
      <c r="BF197" s="2"/>
      <c r="BG197" s="3"/>
      <c r="BH197" s="3"/>
      <c r="BI197" s="3"/>
      <c r="BJ197" s="3"/>
    </row>
    <row r="198" spans="1:62" ht="15">
      <c r="A198" s="66" t="s">
        <v>378</v>
      </c>
      <c r="B198" s="67"/>
      <c r="C198" s="67"/>
      <c r="D198" s="68">
        <v>50</v>
      </c>
      <c r="E198" s="70"/>
      <c r="F198" s="105" t="str">
        <f>HYPERLINK("https://yt3.ggpht.com/ytc/AIf8zZQIizodlOWBcWSzpZlOPHAYJxPB6hkK3sEUcg=s88-c-k-c0x00ffffff-no-rj")</f>
        <v>https://yt3.ggpht.com/ytc/AIf8zZQIizodlOWBcWSzpZlOPHAYJxPB6hkK3sEUcg=s88-c-k-c0x00ffffff-no-rj</v>
      </c>
      <c r="G198" s="67"/>
      <c r="H198" s="71" t="s">
        <v>2608</v>
      </c>
      <c r="I198" s="72"/>
      <c r="J198" s="72" t="s">
        <v>159</v>
      </c>
      <c r="K198" s="71" t="s">
        <v>2608</v>
      </c>
      <c r="L198" s="75">
        <v>1</v>
      </c>
      <c r="M198" s="76">
        <v>7354.572265625</v>
      </c>
      <c r="N198" s="76">
        <v>7195.39990234375</v>
      </c>
      <c r="O198" s="77"/>
      <c r="P198" s="78"/>
      <c r="Q198" s="78"/>
      <c r="R198" s="90"/>
      <c r="S198" s="49">
        <v>0</v>
      </c>
      <c r="T198" s="49">
        <v>1</v>
      </c>
      <c r="U198" s="50">
        <v>0</v>
      </c>
      <c r="V198" s="50">
        <v>0.220844</v>
      </c>
      <c r="W198" s="51"/>
      <c r="X198" s="51"/>
      <c r="Y198" s="51"/>
      <c r="Z198" s="50"/>
      <c r="AA198" s="73">
        <v>198</v>
      </c>
      <c r="AB198" s="73"/>
      <c r="AC198" s="74"/>
      <c r="AD198" s="81" t="s">
        <v>2608</v>
      </c>
      <c r="AE198" s="81"/>
      <c r="AF198" s="81"/>
      <c r="AG198" s="81"/>
      <c r="AH198" s="81"/>
      <c r="AI198" s="81" t="s">
        <v>1844</v>
      </c>
      <c r="AJ198" s="88">
        <v>42341.282314814816</v>
      </c>
      <c r="AK198" s="86" t="str">
        <f>HYPERLINK("https://yt3.ggpht.com/ytc/AIf8zZQIizodlOWBcWSzpZlOPHAYJxPB6hkK3sEUcg=s88-c-k-c0x00ffffff-no-rj")</f>
        <v>https://yt3.ggpht.com/ytc/AIf8zZQIizodlOWBcWSzpZlOPHAYJxPB6hkK3sEUcg=s88-c-k-c0x00ffffff-no-rj</v>
      </c>
      <c r="AL198" s="81">
        <v>646</v>
      </c>
      <c r="AM198" s="81">
        <v>0</v>
      </c>
      <c r="AN198" s="81">
        <v>21</v>
      </c>
      <c r="AO198" s="81" t="b">
        <v>0</v>
      </c>
      <c r="AP198" s="81">
        <v>2</v>
      </c>
      <c r="AQ198" s="81"/>
      <c r="AR198" s="81"/>
      <c r="AS198" s="81" t="s">
        <v>3378</v>
      </c>
      <c r="AT198" s="86" t="str">
        <f>HYPERLINK("https://www.youtube.com/channel/UCYYBJMELN8ajZoe72bkjYyA")</f>
        <v>https://www.youtube.com/channel/UCYYBJMELN8ajZoe72bkjYyA</v>
      </c>
      <c r="AU198" s="81" t="str">
        <f>REPLACE(INDEX(GroupVertices[Group],MATCH("~"&amp;Vertices[[#This Row],[Vertex]],GroupVertices[Vertex],0)),1,1,"")</f>
        <v>4</v>
      </c>
      <c r="AV198" s="49"/>
      <c r="AW198" s="49"/>
      <c r="AX198" s="49"/>
      <c r="AY198" s="49"/>
      <c r="AZ198" s="49"/>
      <c r="BA198" s="49"/>
      <c r="BB198" s="117" t="s">
        <v>3850</v>
      </c>
      <c r="BC198" s="117" t="s">
        <v>3850</v>
      </c>
      <c r="BD198" s="117" t="s">
        <v>4548</v>
      </c>
      <c r="BE198" s="117" t="s">
        <v>4548</v>
      </c>
      <c r="BF198" s="2"/>
      <c r="BG198" s="3"/>
      <c r="BH198" s="3"/>
      <c r="BI198" s="3"/>
      <c r="BJ198" s="3"/>
    </row>
    <row r="199" spans="1:62" ht="15">
      <c r="A199" s="66" t="s">
        <v>379</v>
      </c>
      <c r="B199" s="67"/>
      <c r="C199" s="67"/>
      <c r="D199" s="68">
        <v>50</v>
      </c>
      <c r="E199" s="70"/>
      <c r="F199" s="105" t="str">
        <f>HYPERLINK("https://yt3.ggpht.com/wDXHOOhTfv46BHVqOn-CgFjHhL6Z5NoWaFqWdIhHdyzCtpj5DvLr6QploilZR424NamzyBofPrg=s88-c-k-c0x00ffffff-no-rj")</f>
        <v>https://yt3.ggpht.com/wDXHOOhTfv46BHVqOn-CgFjHhL6Z5NoWaFqWdIhHdyzCtpj5DvLr6QploilZR424NamzyBofPrg=s88-c-k-c0x00ffffff-no-rj</v>
      </c>
      <c r="G199" s="67"/>
      <c r="H199" s="71" t="s">
        <v>2609</v>
      </c>
      <c r="I199" s="72"/>
      <c r="J199" s="72" t="s">
        <v>159</v>
      </c>
      <c r="K199" s="71" t="s">
        <v>2609</v>
      </c>
      <c r="L199" s="75">
        <v>1</v>
      </c>
      <c r="M199" s="76">
        <v>7616.171875</v>
      </c>
      <c r="N199" s="76">
        <v>9516.8876953125</v>
      </c>
      <c r="O199" s="77"/>
      <c r="P199" s="78"/>
      <c r="Q199" s="78"/>
      <c r="R199" s="90"/>
      <c r="S199" s="49">
        <v>0</v>
      </c>
      <c r="T199" s="49">
        <v>1</v>
      </c>
      <c r="U199" s="50">
        <v>0</v>
      </c>
      <c r="V199" s="50">
        <v>0.220844</v>
      </c>
      <c r="W199" s="51"/>
      <c r="X199" s="51"/>
      <c r="Y199" s="51"/>
      <c r="Z199" s="50"/>
      <c r="AA199" s="73">
        <v>199</v>
      </c>
      <c r="AB199" s="73"/>
      <c r="AC199" s="74"/>
      <c r="AD199" s="81" t="s">
        <v>2609</v>
      </c>
      <c r="AE199" s="81" t="s">
        <v>3158</v>
      </c>
      <c r="AF199" s="81"/>
      <c r="AG199" s="81"/>
      <c r="AH199" s="81"/>
      <c r="AI199" s="81" t="s">
        <v>1845</v>
      </c>
      <c r="AJ199" s="88">
        <v>44157.153125</v>
      </c>
      <c r="AK199" s="86" t="str">
        <f>HYPERLINK("https://yt3.ggpht.com/wDXHOOhTfv46BHVqOn-CgFjHhL6Z5NoWaFqWdIhHdyzCtpj5DvLr6QploilZR424NamzyBofPrg=s88-c-k-c0x00ffffff-no-rj")</f>
        <v>https://yt3.ggpht.com/wDXHOOhTfv46BHVqOn-CgFjHhL6Z5NoWaFqWdIhHdyzCtpj5DvLr6QploilZR424NamzyBofPrg=s88-c-k-c0x00ffffff-no-rj</v>
      </c>
      <c r="AL199" s="81">
        <v>2193</v>
      </c>
      <c r="AM199" s="81">
        <v>0</v>
      </c>
      <c r="AN199" s="81">
        <v>0</v>
      </c>
      <c r="AO199" s="81" t="b">
        <v>0</v>
      </c>
      <c r="AP199" s="81">
        <v>1</v>
      </c>
      <c r="AQ199" s="81"/>
      <c r="AR199" s="81"/>
      <c r="AS199" s="81" t="s">
        <v>3378</v>
      </c>
      <c r="AT199" s="86" t="str">
        <f>HYPERLINK("https://www.youtube.com/channel/UCPB94hDA1pjLEMHmOdG8V0w")</f>
        <v>https://www.youtube.com/channel/UCPB94hDA1pjLEMHmOdG8V0w</v>
      </c>
      <c r="AU199" s="81" t="str">
        <f>REPLACE(INDEX(GroupVertices[Group],MATCH("~"&amp;Vertices[[#This Row],[Vertex]],GroupVertices[Vertex],0)),1,1,"")</f>
        <v>4</v>
      </c>
      <c r="AV199" s="49"/>
      <c r="AW199" s="49"/>
      <c r="AX199" s="49"/>
      <c r="AY199" s="49"/>
      <c r="AZ199" s="49"/>
      <c r="BA199" s="49"/>
      <c r="BB199" s="117" t="s">
        <v>3851</v>
      </c>
      <c r="BC199" s="117" t="s">
        <v>3851</v>
      </c>
      <c r="BD199" s="117" t="s">
        <v>4549</v>
      </c>
      <c r="BE199" s="117" t="s">
        <v>4549</v>
      </c>
      <c r="BF199" s="2"/>
      <c r="BG199" s="3"/>
      <c r="BH199" s="3"/>
      <c r="BI199" s="3"/>
      <c r="BJ199" s="3"/>
    </row>
    <row r="200" spans="1:62" ht="15">
      <c r="A200" s="66" t="s">
        <v>380</v>
      </c>
      <c r="B200" s="67"/>
      <c r="C200" s="67"/>
      <c r="D200" s="68">
        <v>50</v>
      </c>
      <c r="E200" s="70"/>
      <c r="F200" s="105" t="str">
        <f>HYPERLINK("https://yt3.ggpht.com/ytc/AIf8zZT0cweN83pX107wlUYzJroxny4OFucfIlh2Sg=s88-c-k-c0x00ffffff-no-rj")</f>
        <v>https://yt3.ggpht.com/ytc/AIf8zZT0cweN83pX107wlUYzJroxny4OFucfIlh2Sg=s88-c-k-c0x00ffffff-no-rj</v>
      </c>
      <c r="G200" s="67"/>
      <c r="H200" s="71" t="s">
        <v>2610</v>
      </c>
      <c r="I200" s="72"/>
      <c r="J200" s="72" t="s">
        <v>159</v>
      </c>
      <c r="K200" s="71" t="s">
        <v>2610</v>
      </c>
      <c r="L200" s="75">
        <v>1</v>
      </c>
      <c r="M200" s="76">
        <v>9148.310546875</v>
      </c>
      <c r="N200" s="76">
        <v>8002.63818359375</v>
      </c>
      <c r="O200" s="77"/>
      <c r="P200" s="78"/>
      <c r="Q200" s="78"/>
      <c r="R200" s="90"/>
      <c r="S200" s="49">
        <v>0</v>
      </c>
      <c r="T200" s="49">
        <v>1</v>
      </c>
      <c r="U200" s="50">
        <v>0</v>
      </c>
      <c r="V200" s="50">
        <v>0.220844</v>
      </c>
      <c r="W200" s="51"/>
      <c r="X200" s="51"/>
      <c r="Y200" s="51"/>
      <c r="Z200" s="50"/>
      <c r="AA200" s="73">
        <v>200</v>
      </c>
      <c r="AB200" s="73"/>
      <c r="AC200" s="74"/>
      <c r="AD200" s="81" t="s">
        <v>2610</v>
      </c>
      <c r="AE200" s="81"/>
      <c r="AF200" s="81"/>
      <c r="AG200" s="81"/>
      <c r="AH200" s="81"/>
      <c r="AI200" s="81" t="s">
        <v>3268</v>
      </c>
      <c r="AJ200" s="88">
        <v>39617.05638888889</v>
      </c>
      <c r="AK200" s="86" t="str">
        <f>HYPERLINK("https://yt3.ggpht.com/ytc/AIf8zZT0cweN83pX107wlUYzJroxny4OFucfIlh2Sg=s88-c-k-c0x00ffffff-no-rj")</f>
        <v>https://yt3.ggpht.com/ytc/AIf8zZT0cweN83pX107wlUYzJroxny4OFucfIlh2Sg=s88-c-k-c0x00ffffff-no-rj</v>
      </c>
      <c r="AL200" s="81">
        <v>0</v>
      </c>
      <c r="AM200" s="81">
        <v>0</v>
      </c>
      <c r="AN200" s="81">
        <v>3</v>
      </c>
      <c r="AO200" s="81" t="b">
        <v>0</v>
      </c>
      <c r="AP200" s="81">
        <v>0</v>
      </c>
      <c r="AQ200" s="81"/>
      <c r="AR200" s="81"/>
      <c r="AS200" s="81" t="s">
        <v>3378</v>
      </c>
      <c r="AT200" s="86" t="str">
        <f>HYPERLINK("https://www.youtube.com/channel/UCB4TxRglTwXE21ERgJn67aA")</f>
        <v>https://www.youtube.com/channel/UCB4TxRglTwXE21ERgJn67aA</v>
      </c>
      <c r="AU200" s="81" t="str">
        <f>REPLACE(INDEX(GroupVertices[Group],MATCH("~"&amp;Vertices[[#This Row],[Vertex]],GroupVertices[Vertex],0)),1,1,"")</f>
        <v>4</v>
      </c>
      <c r="AV200" s="49"/>
      <c r="AW200" s="49"/>
      <c r="AX200" s="49"/>
      <c r="AY200" s="49"/>
      <c r="AZ200" s="49"/>
      <c r="BA200" s="49"/>
      <c r="BB200" s="117" t="s">
        <v>3852</v>
      </c>
      <c r="BC200" s="117" t="s">
        <v>3852</v>
      </c>
      <c r="BD200" s="117" t="s">
        <v>4550</v>
      </c>
      <c r="BE200" s="117" t="s">
        <v>4550</v>
      </c>
      <c r="BF200" s="2"/>
      <c r="BG200" s="3"/>
      <c r="BH200" s="3"/>
      <c r="BI200" s="3"/>
      <c r="BJ200" s="3"/>
    </row>
    <row r="201" spans="1:62" ht="15">
      <c r="A201" s="66" t="s">
        <v>381</v>
      </c>
      <c r="B201" s="67"/>
      <c r="C201" s="67"/>
      <c r="D201" s="68">
        <v>50</v>
      </c>
      <c r="E201" s="70"/>
      <c r="F201" s="105" t="str">
        <f>HYPERLINK("https://yt3.ggpht.com/ytc/AIf8zZTpBxkyhzse3e4ySb634My_HQP39qkZ10owag=s88-c-k-c0x00ffffff-no-rj")</f>
        <v>https://yt3.ggpht.com/ytc/AIf8zZTpBxkyhzse3e4ySb634My_HQP39qkZ10owag=s88-c-k-c0x00ffffff-no-rj</v>
      </c>
      <c r="G201" s="67"/>
      <c r="H201" s="71" t="s">
        <v>2611</v>
      </c>
      <c r="I201" s="72"/>
      <c r="J201" s="72" t="s">
        <v>159</v>
      </c>
      <c r="K201" s="71" t="s">
        <v>2611</v>
      </c>
      <c r="L201" s="75">
        <v>1</v>
      </c>
      <c r="M201" s="76">
        <v>8593.48828125</v>
      </c>
      <c r="N201" s="76">
        <v>7230.6669921875</v>
      </c>
      <c r="O201" s="77"/>
      <c r="P201" s="78"/>
      <c r="Q201" s="78"/>
      <c r="R201" s="90"/>
      <c r="S201" s="49">
        <v>0</v>
      </c>
      <c r="T201" s="49">
        <v>1</v>
      </c>
      <c r="U201" s="50">
        <v>0</v>
      </c>
      <c r="V201" s="50">
        <v>0.220844</v>
      </c>
      <c r="W201" s="51"/>
      <c r="X201" s="51"/>
      <c r="Y201" s="51"/>
      <c r="Z201" s="50"/>
      <c r="AA201" s="73">
        <v>201</v>
      </c>
      <c r="AB201" s="73"/>
      <c r="AC201" s="74"/>
      <c r="AD201" s="81" t="s">
        <v>2611</v>
      </c>
      <c r="AE201" s="81"/>
      <c r="AF201" s="81"/>
      <c r="AG201" s="81"/>
      <c r="AH201" s="81"/>
      <c r="AI201" s="81" t="s">
        <v>1847</v>
      </c>
      <c r="AJ201" s="88">
        <v>41213.19063657407</v>
      </c>
      <c r="AK201" s="86" t="str">
        <f>HYPERLINK("https://yt3.ggpht.com/ytc/AIf8zZTpBxkyhzse3e4ySb634My_HQP39qkZ10owag=s88-c-k-c0x00ffffff-no-rj")</f>
        <v>https://yt3.ggpht.com/ytc/AIf8zZTpBxkyhzse3e4ySb634My_HQP39qkZ10owag=s88-c-k-c0x00ffffff-no-rj</v>
      </c>
      <c r="AL201" s="81">
        <v>0</v>
      </c>
      <c r="AM201" s="81">
        <v>0</v>
      </c>
      <c r="AN201" s="81">
        <v>0</v>
      </c>
      <c r="AO201" s="81" t="b">
        <v>0</v>
      </c>
      <c r="AP201" s="81">
        <v>0</v>
      </c>
      <c r="AQ201" s="81"/>
      <c r="AR201" s="81"/>
      <c r="AS201" s="81" t="s">
        <v>3378</v>
      </c>
      <c r="AT201" s="86" t="str">
        <f>HYPERLINK("https://www.youtube.com/channel/UC46gdzfsEZbNjMlkYMcaXbQ")</f>
        <v>https://www.youtube.com/channel/UC46gdzfsEZbNjMlkYMcaXbQ</v>
      </c>
      <c r="AU201" s="81" t="str">
        <f>REPLACE(INDEX(GroupVertices[Group],MATCH("~"&amp;Vertices[[#This Row],[Vertex]],GroupVertices[Vertex],0)),1,1,"")</f>
        <v>4</v>
      </c>
      <c r="AV201" s="49"/>
      <c r="AW201" s="49"/>
      <c r="AX201" s="49"/>
      <c r="AY201" s="49"/>
      <c r="AZ201" s="49"/>
      <c r="BA201" s="49"/>
      <c r="BB201" s="117" t="s">
        <v>3853</v>
      </c>
      <c r="BC201" s="117" t="s">
        <v>3853</v>
      </c>
      <c r="BD201" s="117" t="s">
        <v>4551</v>
      </c>
      <c r="BE201" s="117" t="s">
        <v>4551</v>
      </c>
      <c r="BF201" s="2"/>
      <c r="BG201" s="3"/>
      <c r="BH201" s="3"/>
      <c r="BI201" s="3"/>
      <c r="BJ201" s="3"/>
    </row>
    <row r="202" spans="1:62" ht="15">
      <c r="A202" s="66" t="s">
        <v>382</v>
      </c>
      <c r="B202" s="67"/>
      <c r="C202" s="67"/>
      <c r="D202" s="68">
        <v>50</v>
      </c>
      <c r="E202" s="70"/>
      <c r="F202" s="105" t="str">
        <f>HYPERLINK("https://yt3.ggpht.com/ytc/AIf8zZTvm7Dq7k07yoZk5bcGXm0-DODd8eFExVAlbuUy=s88-c-k-c0x00ffffff-no-rj")</f>
        <v>https://yt3.ggpht.com/ytc/AIf8zZTvm7Dq7k07yoZk5bcGXm0-DODd8eFExVAlbuUy=s88-c-k-c0x00ffffff-no-rj</v>
      </c>
      <c r="G202" s="67"/>
      <c r="H202" s="71" t="s">
        <v>2612</v>
      </c>
      <c r="I202" s="72"/>
      <c r="J202" s="72" t="s">
        <v>159</v>
      </c>
      <c r="K202" s="71" t="s">
        <v>2612</v>
      </c>
      <c r="L202" s="75">
        <v>1</v>
      </c>
      <c r="M202" s="76">
        <v>9238.8984375</v>
      </c>
      <c r="N202" s="76">
        <v>8905.048828125</v>
      </c>
      <c r="O202" s="77"/>
      <c r="P202" s="78"/>
      <c r="Q202" s="78"/>
      <c r="R202" s="90"/>
      <c r="S202" s="49">
        <v>0</v>
      </c>
      <c r="T202" s="49">
        <v>1</v>
      </c>
      <c r="U202" s="50">
        <v>0</v>
      </c>
      <c r="V202" s="50">
        <v>0.220844</v>
      </c>
      <c r="W202" s="51"/>
      <c r="X202" s="51"/>
      <c r="Y202" s="51"/>
      <c r="Z202" s="50"/>
      <c r="AA202" s="73">
        <v>202</v>
      </c>
      <c r="AB202" s="73"/>
      <c r="AC202" s="74"/>
      <c r="AD202" s="81" t="s">
        <v>2612</v>
      </c>
      <c r="AE202" s="81"/>
      <c r="AF202" s="81"/>
      <c r="AG202" s="81"/>
      <c r="AH202" s="81"/>
      <c r="AI202" s="81" t="s">
        <v>1848</v>
      </c>
      <c r="AJ202" s="88">
        <v>44028.220138888886</v>
      </c>
      <c r="AK202" s="86" t="str">
        <f>HYPERLINK("https://yt3.ggpht.com/ytc/AIf8zZTvm7Dq7k07yoZk5bcGXm0-DODd8eFExVAlbuUy=s88-c-k-c0x00ffffff-no-rj")</f>
        <v>https://yt3.ggpht.com/ytc/AIf8zZTvm7Dq7k07yoZk5bcGXm0-DODd8eFExVAlbuUy=s88-c-k-c0x00ffffff-no-rj</v>
      </c>
      <c r="AL202" s="81">
        <v>0</v>
      </c>
      <c r="AM202" s="81">
        <v>0</v>
      </c>
      <c r="AN202" s="81">
        <v>1</v>
      </c>
      <c r="AO202" s="81" t="b">
        <v>0</v>
      </c>
      <c r="AP202" s="81">
        <v>0</v>
      </c>
      <c r="AQ202" s="81"/>
      <c r="AR202" s="81"/>
      <c r="AS202" s="81" t="s">
        <v>3378</v>
      </c>
      <c r="AT202" s="86" t="str">
        <f>HYPERLINK("https://www.youtube.com/channel/UC5FI7UKfQnJ9oxtRvUGntZQ")</f>
        <v>https://www.youtube.com/channel/UC5FI7UKfQnJ9oxtRvUGntZQ</v>
      </c>
      <c r="AU202" s="81" t="str">
        <f>REPLACE(INDEX(GroupVertices[Group],MATCH("~"&amp;Vertices[[#This Row],[Vertex]],GroupVertices[Vertex],0)),1,1,"")</f>
        <v>4</v>
      </c>
      <c r="AV202" s="49"/>
      <c r="AW202" s="49"/>
      <c r="AX202" s="49"/>
      <c r="AY202" s="49"/>
      <c r="AZ202" s="49"/>
      <c r="BA202" s="49"/>
      <c r="BB202" s="117" t="s">
        <v>3854</v>
      </c>
      <c r="BC202" s="117" t="s">
        <v>3854</v>
      </c>
      <c r="BD202" s="117" t="s">
        <v>4552</v>
      </c>
      <c r="BE202" s="117" t="s">
        <v>4552</v>
      </c>
      <c r="BF202" s="2"/>
      <c r="BG202" s="3"/>
      <c r="BH202" s="3"/>
      <c r="BI202" s="3"/>
      <c r="BJ202" s="3"/>
    </row>
    <row r="203" spans="1:62" ht="15">
      <c r="A203" s="66" t="s">
        <v>383</v>
      </c>
      <c r="B203" s="67"/>
      <c r="C203" s="67"/>
      <c r="D203" s="68">
        <v>50</v>
      </c>
      <c r="E203" s="70"/>
      <c r="F203" s="105" t="str">
        <f>HYPERLINK("https://yt3.ggpht.com/ytc/AIf8zZR5Hs0ma0VqaLAriNaogfWIQqICawTYZOnbuw=s88-c-k-c0x00ffffff-no-rj")</f>
        <v>https://yt3.ggpht.com/ytc/AIf8zZR5Hs0ma0VqaLAriNaogfWIQqICawTYZOnbuw=s88-c-k-c0x00ffffff-no-rj</v>
      </c>
      <c r="G203" s="67"/>
      <c r="H203" s="71" t="s">
        <v>2613</v>
      </c>
      <c r="I203" s="72"/>
      <c r="J203" s="72" t="s">
        <v>159</v>
      </c>
      <c r="K203" s="71" t="s">
        <v>2613</v>
      </c>
      <c r="L203" s="75">
        <v>1</v>
      </c>
      <c r="M203" s="76">
        <v>7677.357421875</v>
      </c>
      <c r="N203" s="76">
        <v>8675.837890625</v>
      </c>
      <c r="O203" s="77"/>
      <c r="P203" s="78"/>
      <c r="Q203" s="78"/>
      <c r="R203" s="90"/>
      <c r="S203" s="49">
        <v>0</v>
      </c>
      <c r="T203" s="49">
        <v>1</v>
      </c>
      <c r="U203" s="50">
        <v>0</v>
      </c>
      <c r="V203" s="50">
        <v>0.220844</v>
      </c>
      <c r="W203" s="51"/>
      <c r="X203" s="51"/>
      <c r="Y203" s="51"/>
      <c r="Z203" s="50"/>
      <c r="AA203" s="73">
        <v>203</v>
      </c>
      <c r="AB203" s="73"/>
      <c r="AC203" s="74"/>
      <c r="AD203" s="81" t="s">
        <v>2613</v>
      </c>
      <c r="AE203" s="81"/>
      <c r="AF203" s="81"/>
      <c r="AG203" s="81"/>
      <c r="AH203" s="81"/>
      <c r="AI203" s="81" t="s">
        <v>1849</v>
      </c>
      <c r="AJ203" s="88">
        <v>41573.051469907405</v>
      </c>
      <c r="AK203" s="86" t="str">
        <f>HYPERLINK("https://yt3.ggpht.com/ytc/AIf8zZR5Hs0ma0VqaLAriNaogfWIQqICawTYZOnbuw=s88-c-k-c0x00ffffff-no-rj")</f>
        <v>https://yt3.ggpht.com/ytc/AIf8zZR5Hs0ma0VqaLAriNaogfWIQqICawTYZOnbuw=s88-c-k-c0x00ffffff-no-rj</v>
      </c>
      <c r="AL203" s="81">
        <v>0</v>
      </c>
      <c r="AM203" s="81">
        <v>0</v>
      </c>
      <c r="AN203" s="81">
        <v>0</v>
      </c>
      <c r="AO203" s="81" t="b">
        <v>0</v>
      </c>
      <c r="AP203" s="81">
        <v>0</v>
      </c>
      <c r="AQ203" s="81"/>
      <c r="AR203" s="81"/>
      <c r="AS203" s="81" t="s">
        <v>3378</v>
      </c>
      <c r="AT203" s="86" t="str">
        <f>HYPERLINK("https://www.youtube.com/channel/UClqdcyZk_8sbRo7-2ahz5eQ")</f>
        <v>https://www.youtube.com/channel/UClqdcyZk_8sbRo7-2ahz5eQ</v>
      </c>
      <c r="AU203" s="81" t="str">
        <f>REPLACE(INDEX(GroupVertices[Group],MATCH("~"&amp;Vertices[[#This Row],[Vertex]],GroupVertices[Vertex],0)),1,1,"")</f>
        <v>4</v>
      </c>
      <c r="AV203" s="49"/>
      <c r="AW203" s="49"/>
      <c r="AX203" s="49"/>
      <c r="AY203" s="49"/>
      <c r="AZ203" s="49"/>
      <c r="BA203" s="49"/>
      <c r="BB203" s="117" t="s">
        <v>3855</v>
      </c>
      <c r="BC203" s="117" t="s">
        <v>3855</v>
      </c>
      <c r="BD203" s="117" t="s">
        <v>4553</v>
      </c>
      <c r="BE203" s="117" t="s">
        <v>4553</v>
      </c>
      <c r="BF203" s="2"/>
      <c r="BG203" s="3"/>
      <c r="BH203" s="3"/>
      <c r="BI203" s="3"/>
      <c r="BJ203" s="3"/>
    </row>
    <row r="204" spans="1:62" ht="15">
      <c r="A204" s="66" t="s">
        <v>384</v>
      </c>
      <c r="B204" s="67"/>
      <c r="C204" s="67"/>
      <c r="D204" s="68">
        <v>50</v>
      </c>
      <c r="E204" s="70"/>
      <c r="F204" s="105" t="str">
        <f>HYPERLINK("https://yt3.ggpht.com/ytc/AIf8zZToSH9lC14xOttUIeksUvoPUMHKPgpCtksj8iwFAA=s88-c-k-c0x00ffffff-no-rj")</f>
        <v>https://yt3.ggpht.com/ytc/AIf8zZToSH9lC14xOttUIeksUvoPUMHKPgpCtksj8iwFAA=s88-c-k-c0x00ffffff-no-rj</v>
      </c>
      <c r="G204" s="67"/>
      <c r="H204" s="71" t="s">
        <v>2614</v>
      </c>
      <c r="I204" s="72"/>
      <c r="J204" s="72" t="s">
        <v>159</v>
      </c>
      <c r="K204" s="71" t="s">
        <v>2614</v>
      </c>
      <c r="L204" s="75">
        <v>1</v>
      </c>
      <c r="M204" s="76">
        <v>8766.9677734375</v>
      </c>
      <c r="N204" s="76">
        <v>9489.6884765625</v>
      </c>
      <c r="O204" s="77"/>
      <c r="P204" s="78"/>
      <c r="Q204" s="78"/>
      <c r="R204" s="90"/>
      <c r="S204" s="49">
        <v>0</v>
      </c>
      <c r="T204" s="49">
        <v>1</v>
      </c>
      <c r="U204" s="50">
        <v>0</v>
      </c>
      <c r="V204" s="50">
        <v>0.220844</v>
      </c>
      <c r="W204" s="51"/>
      <c r="X204" s="51"/>
      <c r="Y204" s="51"/>
      <c r="Z204" s="50"/>
      <c r="AA204" s="73">
        <v>204</v>
      </c>
      <c r="AB204" s="73"/>
      <c r="AC204" s="74"/>
      <c r="AD204" s="81" t="s">
        <v>2614</v>
      </c>
      <c r="AE204" s="81"/>
      <c r="AF204" s="81"/>
      <c r="AG204" s="81"/>
      <c r="AH204" s="81"/>
      <c r="AI204" s="81" t="s">
        <v>1850</v>
      </c>
      <c r="AJ204" s="88">
        <v>41226.34974537037</v>
      </c>
      <c r="AK204" s="86" t="str">
        <f>HYPERLINK("https://yt3.ggpht.com/ytc/AIf8zZToSH9lC14xOttUIeksUvoPUMHKPgpCtksj8iwFAA=s88-c-k-c0x00ffffff-no-rj")</f>
        <v>https://yt3.ggpht.com/ytc/AIf8zZToSH9lC14xOttUIeksUvoPUMHKPgpCtksj8iwFAA=s88-c-k-c0x00ffffff-no-rj</v>
      </c>
      <c r="AL204" s="81">
        <v>0</v>
      </c>
      <c r="AM204" s="81">
        <v>0</v>
      </c>
      <c r="AN204" s="81">
        <v>1</v>
      </c>
      <c r="AO204" s="81" t="b">
        <v>0</v>
      </c>
      <c r="AP204" s="81">
        <v>0</v>
      </c>
      <c r="AQ204" s="81"/>
      <c r="AR204" s="81"/>
      <c r="AS204" s="81" t="s">
        <v>3378</v>
      </c>
      <c r="AT204" s="86" t="str">
        <f>HYPERLINK("https://www.youtube.com/channel/UCNqUd8GbIO7BuYFI2-O3auQ")</f>
        <v>https://www.youtube.com/channel/UCNqUd8GbIO7BuYFI2-O3auQ</v>
      </c>
      <c r="AU204" s="81" t="str">
        <f>REPLACE(INDEX(GroupVertices[Group],MATCH("~"&amp;Vertices[[#This Row],[Vertex]],GroupVertices[Vertex],0)),1,1,"")</f>
        <v>4</v>
      </c>
      <c r="AV204" s="49"/>
      <c r="AW204" s="49"/>
      <c r="AX204" s="49"/>
      <c r="AY204" s="49"/>
      <c r="AZ204" s="49"/>
      <c r="BA204" s="49"/>
      <c r="BB204" s="117" t="s">
        <v>3856</v>
      </c>
      <c r="BC204" s="117" t="s">
        <v>3856</v>
      </c>
      <c r="BD204" s="117" t="s">
        <v>4554</v>
      </c>
      <c r="BE204" s="117" t="s">
        <v>4554</v>
      </c>
      <c r="BF204" s="2"/>
      <c r="BG204" s="3"/>
      <c r="BH204" s="3"/>
      <c r="BI204" s="3"/>
      <c r="BJ204" s="3"/>
    </row>
    <row r="205" spans="1:62" ht="15">
      <c r="A205" s="66" t="s">
        <v>385</v>
      </c>
      <c r="B205" s="67"/>
      <c r="C205" s="67"/>
      <c r="D205" s="68">
        <v>50</v>
      </c>
      <c r="E205" s="70"/>
      <c r="F205" s="105" t="str">
        <f>HYPERLINK("https://yt3.ggpht.com/ytc/AIf8zZTRy1LVztppsQYCuh8h-Ezl6iI06KN3svO0OA=s88-c-k-c0x00ffffff-no-rj")</f>
        <v>https://yt3.ggpht.com/ytc/AIf8zZTRy1LVztppsQYCuh8h-Ezl6iI06KN3svO0OA=s88-c-k-c0x00ffffff-no-rj</v>
      </c>
      <c r="G205" s="67"/>
      <c r="H205" s="71" t="s">
        <v>2615</v>
      </c>
      <c r="I205" s="72"/>
      <c r="J205" s="72" t="s">
        <v>159</v>
      </c>
      <c r="K205" s="71" t="s">
        <v>2615</v>
      </c>
      <c r="L205" s="75">
        <v>1</v>
      </c>
      <c r="M205" s="76">
        <v>8897.2646484375</v>
      </c>
      <c r="N205" s="76">
        <v>7506.9375</v>
      </c>
      <c r="O205" s="77"/>
      <c r="P205" s="78"/>
      <c r="Q205" s="78"/>
      <c r="R205" s="90"/>
      <c r="S205" s="49">
        <v>0</v>
      </c>
      <c r="T205" s="49">
        <v>1</v>
      </c>
      <c r="U205" s="50">
        <v>0</v>
      </c>
      <c r="V205" s="50">
        <v>0.220844</v>
      </c>
      <c r="W205" s="51"/>
      <c r="X205" s="51"/>
      <c r="Y205" s="51"/>
      <c r="Z205" s="50"/>
      <c r="AA205" s="73">
        <v>205</v>
      </c>
      <c r="AB205" s="73"/>
      <c r="AC205" s="74"/>
      <c r="AD205" s="81" t="s">
        <v>2615</v>
      </c>
      <c r="AE205" s="81"/>
      <c r="AF205" s="81"/>
      <c r="AG205" s="81"/>
      <c r="AH205" s="81"/>
      <c r="AI205" s="81" t="s">
        <v>1851</v>
      </c>
      <c r="AJ205" s="88">
        <v>40918.09341435185</v>
      </c>
      <c r="AK205" s="86" t="str">
        <f>HYPERLINK("https://yt3.ggpht.com/ytc/AIf8zZTRy1LVztppsQYCuh8h-Ezl6iI06KN3svO0OA=s88-c-k-c0x00ffffff-no-rj")</f>
        <v>https://yt3.ggpht.com/ytc/AIf8zZTRy1LVztppsQYCuh8h-Ezl6iI06KN3svO0OA=s88-c-k-c0x00ffffff-no-rj</v>
      </c>
      <c r="AL205" s="81">
        <v>0</v>
      </c>
      <c r="AM205" s="81">
        <v>0</v>
      </c>
      <c r="AN205" s="81">
        <v>0</v>
      </c>
      <c r="AO205" s="81" t="b">
        <v>0</v>
      </c>
      <c r="AP205" s="81">
        <v>0</v>
      </c>
      <c r="AQ205" s="81"/>
      <c r="AR205" s="81"/>
      <c r="AS205" s="81" t="s">
        <v>3378</v>
      </c>
      <c r="AT205" s="86" t="str">
        <f>HYPERLINK("https://www.youtube.com/channel/UCqBOXFcb9gVlZe3rFD6B6xg")</f>
        <v>https://www.youtube.com/channel/UCqBOXFcb9gVlZe3rFD6B6xg</v>
      </c>
      <c r="AU205" s="81" t="str">
        <f>REPLACE(INDEX(GroupVertices[Group],MATCH("~"&amp;Vertices[[#This Row],[Vertex]],GroupVertices[Vertex],0)),1,1,"")</f>
        <v>4</v>
      </c>
      <c r="AV205" s="49"/>
      <c r="AW205" s="49"/>
      <c r="AX205" s="49"/>
      <c r="AY205" s="49"/>
      <c r="AZ205" s="49"/>
      <c r="BA205" s="49"/>
      <c r="BB205" s="117" t="s">
        <v>3857</v>
      </c>
      <c r="BC205" s="117" t="s">
        <v>3857</v>
      </c>
      <c r="BD205" s="117" t="s">
        <v>4555</v>
      </c>
      <c r="BE205" s="117" t="s">
        <v>4555</v>
      </c>
      <c r="BF205" s="2"/>
      <c r="BG205" s="3"/>
      <c r="BH205" s="3"/>
      <c r="BI205" s="3"/>
      <c r="BJ205" s="3"/>
    </row>
    <row r="206" spans="1:62" ht="15">
      <c r="A206" s="66" t="s">
        <v>386</v>
      </c>
      <c r="B206" s="67"/>
      <c r="C206" s="67"/>
      <c r="D206" s="68">
        <v>50</v>
      </c>
      <c r="E206" s="70"/>
      <c r="F206" s="105" t="str">
        <f>HYPERLINK("https://yt3.ggpht.com/ytc/AIf8zZRd5JINn_S3o7lIEEs6me5IFAGUe43qwrvRaaETFc1jS1k4NysdCUqQUZIhJypA=s88-c-k-c0x00ffffff-no-rj")</f>
        <v>https://yt3.ggpht.com/ytc/AIf8zZRd5JINn_S3o7lIEEs6me5IFAGUe43qwrvRaaETFc1jS1k4NysdCUqQUZIhJypA=s88-c-k-c0x00ffffff-no-rj</v>
      </c>
      <c r="G206" s="67"/>
      <c r="H206" s="71" t="s">
        <v>2616</v>
      </c>
      <c r="I206" s="72"/>
      <c r="J206" s="72" t="s">
        <v>159</v>
      </c>
      <c r="K206" s="71" t="s">
        <v>2616</v>
      </c>
      <c r="L206" s="75">
        <v>1</v>
      </c>
      <c r="M206" s="76">
        <v>6995.48583984375</v>
      </c>
      <c r="N206" s="76">
        <v>8191.673828125</v>
      </c>
      <c r="O206" s="77"/>
      <c r="P206" s="78"/>
      <c r="Q206" s="78"/>
      <c r="R206" s="90"/>
      <c r="S206" s="49">
        <v>0</v>
      </c>
      <c r="T206" s="49">
        <v>1</v>
      </c>
      <c r="U206" s="50">
        <v>0</v>
      </c>
      <c r="V206" s="50">
        <v>0.220844</v>
      </c>
      <c r="W206" s="51"/>
      <c r="X206" s="51"/>
      <c r="Y206" s="51"/>
      <c r="Z206" s="50"/>
      <c r="AA206" s="73">
        <v>206</v>
      </c>
      <c r="AB206" s="73"/>
      <c r="AC206" s="74"/>
      <c r="AD206" s="81" t="s">
        <v>2616</v>
      </c>
      <c r="AE206" s="81"/>
      <c r="AF206" s="81"/>
      <c r="AG206" s="81"/>
      <c r="AH206" s="81"/>
      <c r="AI206" s="81" t="s">
        <v>1852</v>
      </c>
      <c r="AJ206" s="88">
        <v>44596.174050925925</v>
      </c>
      <c r="AK206" s="86" t="str">
        <f>HYPERLINK("https://yt3.ggpht.com/ytc/AIf8zZRd5JINn_S3o7lIEEs6me5IFAGUe43qwrvRaaETFc1jS1k4NysdCUqQUZIhJypA=s88-c-k-c0x00ffffff-no-rj")</f>
        <v>https://yt3.ggpht.com/ytc/AIf8zZRd5JINn_S3o7lIEEs6me5IFAGUe43qwrvRaaETFc1jS1k4NysdCUqQUZIhJypA=s88-c-k-c0x00ffffff-no-rj</v>
      </c>
      <c r="AL206" s="81">
        <v>0</v>
      </c>
      <c r="AM206" s="81">
        <v>0</v>
      </c>
      <c r="AN206" s="81">
        <v>0</v>
      </c>
      <c r="AO206" s="81" t="b">
        <v>0</v>
      </c>
      <c r="AP206" s="81">
        <v>0</v>
      </c>
      <c r="AQ206" s="81"/>
      <c r="AR206" s="81"/>
      <c r="AS206" s="81" t="s">
        <v>3378</v>
      </c>
      <c r="AT206" s="86" t="str">
        <f>HYPERLINK("https://www.youtube.com/channel/UCnzRr8tkZOJ5XKq4eXeLJ2Q")</f>
        <v>https://www.youtube.com/channel/UCnzRr8tkZOJ5XKq4eXeLJ2Q</v>
      </c>
      <c r="AU206" s="81" t="str">
        <f>REPLACE(INDEX(GroupVertices[Group],MATCH("~"&amp;Vertices[[#This Row],[Vertex]],GroupVertices[Vertex],0)),1,1,"")</f>
        <v>4</v>
      </c>
      <c r="AV206" s="49"/>
      <c r="AW206" s="49"/>
      <c r="AX206" s="49"/>
      <c r="AY206" s="49"/>
      <c r="AZ206" s="49"/>
      <c r="BA206" s="49"/>
      <c r="BB206" s="117" t="s">
        <v>3858</v>
      </c>
      <c r="BC206" s="117" t="s">
        <v>3858</v>
      </c>
      <c r="BD206" s="117" t="s">
        <v>4556</v>
      </c>
      <c r="BE206" s="117" t="s">
        <v>4556</v>
      </c>
      <c r="BF206" s="2"/>
      <c r="BG206" s="3"/>
      <c r="BH206" s="3"/>
      <c r="BI206" s="3"/>
      <c r="BJ206" s="3"/>
    </row>
    <row r="207" spans="1:62" ht="15">
      <c r="A207" s="66" t="s">
        <v>387</v>
      </c>
      <c r="B207" s="67"/>
      <c r="C207" s="67"/>
      <c r="D207" s="68">
        <v>50</v>
      </c>
      <c r="E207" s="70"/>
      <c r="F207" s="105" t="str">
        <f>HYPERLINK("https://yt3.ggpht.com/ytc/AIf8zZSnLNozxIOreZqmutiLuxy6_1ucYiu8I3zmNsWvPUdNKTYvkfQClyn_Ryy9W5eF=s88-c-k-c0x00ffffff-no-rj")</f>
        <v>https://yt3.ggpht.com/ytc/AIf8zZSnLNozxIOreZqmutiLuxy6_1ucYiu8I3zmNsWvPUdNKTYvkfQClyn_Ryy9W5eF=s88-c-k-c0x00ffffff-no-rj</v>
      </c>
      <c r="G207" s="67"/>
      <c r="H207" s="71" t="s">
        <v>2617</v>
      </c>
      <c r="I207" s="72"/>
      <c r="J207" s="72" t="s">
        <v>159</v>
      </c>
      <c r="K207" s="71" t="s">
        <v>2617</v>
      </c>
      <c r="L207" s="75">
        <v>1</v>
      </c>
      <c r="M207" s="76">
        <v>7054.7734375</v>
      </c>
      <c r="N207" s="76">
        <v>7100.87890625</v>
      </c>
      <c r="O207" s="77"/>
      <c r="P207" s="78"/>
      <c r="Q207" s="78"/>
      <c r="R207" s="90"/>
      <c r="S207" s="49">
        <v>0</v>
      </c>
      <c r="T207" s="49">
        <v>1</v>
      </c>
      <c r="U207" s="50">
        <v>0</v>
      </c>
      <c r="V207" s="50">
        <v>0.220844</v>
      </c>
      <c r="W207" s="51"/>
      <c r="X207" s="51"/>
      <c r="Y207" s="51"/>
      <c r="Z207" s="50"/>
      <c r="AA207" s="73">
        <v>207</v>
      </c>
      <c r="AB207" s="73"/>
      <c r="AC207" s="74"/>
      <c r="AD207" s="81" t="s">
        <v>2617</v>
      </c>
      <c r="AE207" s="81"/>
      <c r="AF207" s="81"/>
      <c r="AG207" s="81"/>
      <c r="AH207" s="81"/>
      <c r="AI207" s="81" t="s">
        <v>1853</v>
      </c>
      <c r="AJ207" s="88">
        <v>44526.33987268519</v>
      </c>
      <c r="AK207" s="86" t="str">
        <f>HYPERLINK("https://yt3.ggpht.com/ytc/AIf8zZSnLNozxIOreZqmutiLuxy6_1ucYiu8I3zmNsWvPUdNKTYvkfQClyn_Ryy9W5eF=s88-c-k-c0x00ffffff-no-rj")</f>
        <v>https://yt3.ggpht.com/ytc/AIf8zZSnLNozxIOreZqmutiLuxy6_1ucYiu8I3zmNsWvPUdNKTYvkfQClyn_Ryy9W5eF=s88-c-k-c0x00ffffff-no-rj</v>
      </c>
      <c r="AL207" s="81">
        <v>0</v>
      </c>
      <c r="AM207" s="81">
        <v>0</v>
      </c>
      <c r="AN207" s="81">
        <v>0</v>
      </c>
      <c r="AO207" s="81" t="b">
        <v>0</v>
      </c>
      <c r="AP207" s="81">
        <v>0</v>
      </c>
      <c r="AQ207" s="81"/>
      <c r="AR207" s="81"/>
      <c r="AS207" s="81" t="s">
        <v>3378</v>
      </c>
      <c r="AT207" s="86" t="str">
        <f>HYPERLINK("https://www.youtube.com/channel/UCR6Zdja4QfrSrmQCNPqnGaQ")</f>
        <v>https://www.youtube.com/channel/UCR6Zdja4QfrSrmQCNPqnGaQ</v>
      </c>
      <c r="AU207" s="81" t="str">
        <f>REPLACE(INDEX(GroupVertices[Group],MATCH("~"&amp;Vertices[[#This Row],[Vertex]],GroupVertices[Vertex],0)),1,1,"")</f>
        <v>4</v>
      </c>
      <c r="AV207" s="49"/>
      <c r="AW207" s="49"/>
      <c r="AX207" s="49"/>
      <c r="AY207" s="49"/>
      <c r="AZ207" s="49"/>
      <c r="BA207" s="49"/>
      <c r="BB207" s="117" t="s">
        <v>3859</v>
      </c>
      <c r="BC207" s="117" t="s">
        <v>3859</v>
      </c>
      <c r="BD207" s="117" t="s">
        <v>4557</v>
      </c>
      <c r="BE207" s="117" t="s">
        <v>4557</v>
      </c>
      <c r="BF207" s="2"/>
      <c r="BG207" s="3"/>
      <c r="BH207" s="3"/>
      <c r="BI207" s="3"/>
      <c r="BJ207" s="3"/>
    </row>
    <row r="208" spans="1:62" ht="15">
      <c r="A208" s="66" t="s">
        <v>388</v>
      </c>
      <c r="B208" s="67"/>
      <c r="C208" s="67"/>
      <c r="D208" s="68">
        <v>50</v>
      </c>
      <c r="E208" s="70"/>
      <c r="F208" s="105" t="str">
        <f>HYPERLINK("https://yt3.ggpht.com/ytc/AIf8zZSlD-1Y3supyYQaAFocD7W97VjypbPbifGCMOUnng=s88-c-k-c0x00ffffff-no-rj")</f>
        <v>https://yt3.ggpht.com/ytc/AIf8zZSlD-1Y3supyYQaAFocD7W97VjypbPbifGCMOUnng=s88-c-k-c0x00ffffff-no-rj</v>
      </c>
      <c r="G208" s="67"/>
      <c r="H208" s="71" t="s">
        <v>2618</v>
      </c>
      <c r="I208" s="72"/>
      <c r="J208" s="72" t="s">
        <v>159</v>
      </c>
      <c r="K208" s="71" t="s">
        <v>2618</v>
      </c>
      <c r="L208" s="75">
        <v>1</v>
      </c>
      <c r="M208" s="76">
        <v>8811.57421875</v>
      </c>
      <c r="N208" s="76">
        <v>9037.732421875</v>
      </c>
      <c r="O208" s="77"/>
      <c r="P208" s="78"/>
      <c r="Q208" s="78"/>
      <c r="R208" s="90"/>
      <c r="S208" s="49">
        <v>0</v>
      </c>
      <c r="T208" s="49">
        <v>1</v>
      </c>
      <c r="U208" s="50">
        <v>0</v>
      </c>
      <c r="V208" s="50">
        <v>0.220844</v>
      </c>
      <c r="W208" s="51"/>
      <c r="X208" s="51"/>
      <c r="Y208" s="51"/>
      <c r="Z208" s="50"/>
      <c r="AA208" s="73">
        <v>208</v>
      </c>
      <c r="AB208" s="73"/>
      <c r="AC208" s="74"/>
      <c r="AD208" s="81" t="s">
        <v>2618</v>
      </c>
      <c r="AE208" s="81"/>
      <c r="AF208" s="81"/>
      <c r="AG208" s="81"/>
      <c r="AH208" s="81"/>
      <c r="AI208" s="81" t="s">
        <v>3269</v>
      </c>
      <c r="AJ208" s="88">
        <v>43871.20774305556</v>
      </c>
      <c r="AK208" s="86" t="str">
        <f>HYPERLINK("https://yt3.ggpht.com/ytc/AIf8zZSlD-1Y3supyYQaAFocD7W97VjypbPbifGCMOUnng=s88-c-k-c0x00ffffff-no-rj")</f>
        <v>https://yt3.ggpht.com/ytc/AIf8zZSlD-1Y3supyYQaAFocD7W97VjypbPbifGCMOUnng=s88-c-k-c0x00ffffff-no-rj</v>
      </c>
      <c r="AL208" s="81">
        <v>0</v>
      </c>
      <c r="AM208" s="81">
        <v>0</v>
      </c>
      <c r="AN208" s="81">
        <v>1</v>
      </c>
      <c r="AO208" s="81" t="b">
        <v>0</v>
      </c>
      <c r="AP208" s="81">
        <v>0</v>
      </c>
      <c r="AQ208" s="81"/>
      <c r="AR208" s="81"/>
      <c r="AS208" s="81" t="s">
        <v>3378</v>
      </c>
      <c r="AT208" s="86" t="str">
        <f>HYPERLINK("https://www.youtube.com/channel/UC5H8IyBGyC1_uqZj0WpUctQ")</f>
        <v>https://www.youtube.com/channel/UC5H8IyBGyC1_uqZj0WpUctQ</v>
      </c>
      <c r="AU208" s="81" t="str">
        <f>REPLACE(INDEX(GroupVertices[Group],MATCH("~"&amp;Vertices[[#This Row],[Vertex]],GroupVertices[Vertex],0)),1,1,"")</f>
        <v>4</v>
      </c>
      <c r="AV208" s="49"/>
      <c r="AW208" s="49"/>
      <c r="AX208" s="49"/>
      <c r="AY208" s="49"/>
      <c r="AZ208" s="49"/>
      <c r="BA208" s="49"/>
      <c r="BB208" s="117" t="s">
        <v>3860</v>
      </c>
      <c r="BC208" s="117" t="s">
        <v>3860</v>
      </c>
      <c r="BD208" s="117" t="s">
        <v>4558</v>
      </c>
      <c r="BE208" s="117" t="s">
        <v>4558</v>
      </c>
      <c r="BF208" s="2"/>
      <c r="BG208" s="3"/>
      <c r="BH208" s="3"/>
      <c r="BI208" s="3"/>
      <c r="BJ208" s="3"/>
    </row>
    <row r="209" spans="1:62" ht="15">
      <c r="A209" s="66" t="s">
        <v>390</v>
      </c>
      <c r="B209" s="67"/>
      <c r="C209" s="67"/>
      <c r="D209" s="68">
        <v>50</v>
      </c>
      <c r="E209" s="70"/>
      <c r="F209" s="105" t="str">
        <f>HYPERLINK("https://yt3.ggpht.com/ytc/AIf8zZQTtL_DZ_424h1gYXHoRQhfEMXMzF9evxkbyUnA=s88-c-k-c0x00ffffff-no-rj")</f>
        <v>https://yt3.ggpht.com/ytc/AIf8zZQTtL_DZ_424h1gYXHoRQhfEMXMzF9evxkbyUnA=s88-c-k-c0x00ffffff-no-rj</v>
      </c>
      <c r="G209" s="67"/>
      <c r="H209" s="71" t="s">
        <v>2620</v>
      </c>
      <c r="I209" s="72"/>
      <c r="J209" s="72" t="s">
        <v>159</v>
      </c>
      <c r="K209" s="71" t="s">
        <v>2620</v>
      </c>
      <c r="L209" s="75">
        <v>1</v>
      </c>
      <c r="M209" s="76">
        <v>7893.93310546875</v>
      </c>
      <c r="N209" s="76">
        <v>6263.82373046875</v>
      </c>
      <c r="O209" s="77"/>
      <c r="P209" s="78"/>
      <c r="Q209" s="78"/>
      <c r="R209" s="90"/>
      <c r="S209" s="49">
        <v>0</v>
      </c>
      <c r="T209" s="49">
        <v>1</v>
      </c>
      <c r="U209" s="50">
        <v>0</v>
      </c>
      <c r="V209" s="50">
        <v>0.220844</v>
      </c>
      <c r="W209" s="51"/>
      <c r="X209" s="51"/>
      <c r="Y209" s="51"/>
      <c r="Z209" s="50"/>
      <c r="AA209" s="73">
        <v>209</v>
      </c>
      <c r="AB209" s="73"/>
      <c r="AC209" s="74"/>
      <c r="AD209" s="81" t="s">
        <v>2620</v>
      </c>
      <c r="AE209" s="81"/>
      <c r="AF209" s="81"/>
      <c r="AG209" s="81"/>
      <c r="AH209" s="81"/>
      <c r="AI209" s="81" t="s">
        <v>1856</v>
      </c>
      <c r="AJ209" s="88">
        <v>41560.209189814814</v>
      </c>
      <c r="AK209" s="86" t="str">
        <f>HYPERLINK("https://yt3.ggpht.com/ytc/AIf8zZQTtL_DZ_424h1gYXHoRQhfEMXMzF9evxkbyUnA=s88-c-k-c0x00ffffff-no-rj")</f>
        <v>https://yt3.ggpht.com/ytc/AIf8zZQTtL_DZ_424h1gYXHoRQhfEMXMzF9evxkbyUnA=s88-c-k-c0x00ffffff-no-rj</v>
      </c>
      <c r="AL209" s="81">
        <v>4497</v>
      </c>
      <c r="AM209" s="81">
        <v>0</v>
      </c>
      <c r="AN209" s="81">
        <v>34</v>
      </c>
      <c r="AO209" s="81" t="b">
        <v>0</v>
      </c>
      <c r="AP209" s="81">
        <v>11</v>
      </c>
      <c r="AQ209" s="81"/>
      <c r="AR209" s="81"/>
      <c r="AS209" s="81" t="s">
        <v>3378</v>
      </c>
      <c r="AT209" s="86" t="str">
        <f>HYPERLINK("https://www.youtube.com/channel/UCVF4fbahqapFHIxtAoW6X7w")</f>
        <v>https://www.youtube.com/channel/UCVF4fbahqapFHIxtAoW6X7w</v>
      </c>
      <c r="AU209" s="81" t="str">
        <f>REPLACE(INDEX(GroupVertices[Group],MATCH("~"&amp;Vertices[[#This Row],[Vertex]],GroupVertices[Vertex],0)),1,1,"")</f>
        <v>4</v>
      </c>
      <c r="AV209" s="49"/>
      <c r="AW209" s="49"/>
      <c r="AX209" s="49"/>
      <c r="AY209" s="49"/>
      <c r="AZ209" s="49"/>
      <c r="BA209" s="49"/>
      <c r="BB209" s="117" t="s">
        <v>3862</v>
      </c>
      <c r="BC209" s="117" t="s">
        <v>3862</v>
      </c>
      <c r="BD209" s="117" t="s">
        <v>4560</v>
      </c>
      <c r="BE209" s="117" t="s">
        <v>4560</v>
      </c>
      <c r="BF209" s="2"/>
      <c r="BG209" s="3"/>
      <c r="BH209" s="3"/>
      <c r="BI209" s="3"/>
      <c r="BJ209" s="3"/>
    </row>
    <row r="210" spans="1:62" ht="15">
      <c r="A210" s="66" t="s">
        <v>391</v>
      </c>
      <c r="B210" s="67"/>
      <c r="C210" s="67"/>
      <c r="D210" s="68">
        <v>50</v>
      </c>
      <c r="E210" s="70"/>
      <c r="F210" s="105" t="str">
        <f>HYPERLINK("https://yt3.ggpht.com/ytc/AIf8zZSc_dJkwvlJEqwn9d9clpRqFwI-t0KghtKWag=s88-c-k-c0x00ffffff-no-rj")</f>
        <v>https://yt3.ggpht.com/ytc/AIf8zZSc_dJkwvlJEqwn9d9clpRqFwI-t0KghtKWag=s88-c-k-c0x00ffffff-no-rj</v>
      </c>
      <c r="G210" s="67"/>
      <c r="H210" s="71" t="s">
        <v>2621</v>
      </c>
      <c r="I210" s="72"/>
      <c r="J210" s="72" t="s">
        <v>159</v>
      </c>
      <c r="K210" s="71" t="s">
        <v>2621</v>
      </c>
      <c r="L210" s="75">
        <v>1</v>
      </c>
      <c r="M210" s="76">
        <v>9870.3154296875</v>
      </c>
      <c r="N210" s="76">
        <v>7806.9482421875</v>
      </c>
      <c r="O210" s="77"/>
      <c r="P210" s="78"/>
      <c r="Q210" s="78"/>
      <c r="R210" s="90"/>
      <c r="S210" s="49">
        <v>0</v>
      </c>
      <c r="T210" s="49">
        <v>1</v>
      </c>
      <c r="U210" s="50">
        <v>0</v>
      </c>
      <c r="V210" s="50">
        <v>0.220844</v>
      </c>
      <c r="W210" s="51"/>
      <c r="X210" s="51"/>
      <c r="Y210" s="51"/>
      <c r="Z210" s="50"/>
      <c r="AA210" s="73">
        <v>210</v>
      </c>
      <c r="AB210" s="73"/>
      <c r="AC210" s="74"/>
      <c r="AD210" s="81" t="s">
        <v>2621</v>
      </c>
      <c r="AE210" s="81"/>
      <c r="AF210" s="81"/>
      <c r="AG210" s="81"/>
      <c r="AH210" s="81"/>
      <c r="AI210" s="81" t="s">
        <v>1857</v>
      </c>
      <c r="AJ210" s="88">
        <v>43185.10820601852</v>
      </c>
      <c r="AK210" s="86" t="str">
        <f>HYPERLINK("https://yt3.ggpht.com/ytc/AIf8zZSc_dJkwvlJEqwn9d9clpRqFwI-t0KghtKWag=s88-c-k-c0x00ffffff-no-rj")</f>
        <v>https://yt3.ggpht.com/ytc/AIf8zZSc_dJkwvlJEqwn9d9clpRqFwI-t0KghtKWag=s88-c-k-c0x00ffffff-no-rj</v>
      </c>
      <c r="AL210" s="81">
        <v>0</v>
      </c>
      <c r="AM210" s="81">
        <v>0</v>
      </c>
      <c r="AN210" s="81">
        <v>1</v>
      </c>
      <c r="AO210" s="81" t="b">
        <v>0</v>
      </c>
      <c r="AP210" s="81">
        <v>0</v>
      </c>
      <c r="AQ210" s="81"/>
      <c r="AR210" s="81"/>
      <c r="AS210" s="81" t="s">
        <v>3378</v>
      </c>
      <c r="AT210" s="86" t="str">
        <f>HYPERLINK("https://www.youtube.com/channel/UCJtquISse_1HFyRfiJ32JqQ")</f>
        <v>https://www.youtube.com/channel/UCJtquISse_1HFyRfiJ32JqQ</v>
      </c>
      <c r="AU210" s="81" t="str">
        <f>REPLACE(INDEX(GroupVertices[Group],MATCH("~"&amp;Vertices[[#This Row],[Vertex]],GroupVertices[Vertex],0)),1,1,"")</f>
        <v>4</v>
      </c>
      <c r="AV210" s="49"/>
      <c r="AW210" s="49"/>
      <c r="AX210" s="49"/>
      <c r="AY210" s="49"/>
      <c r="AZ210" s="49"/>
      <c r="BA210" s="49"/>
      <c r="BB210" s="117" t="s">
        <v>3863</v>
      </c>
      <c r="BC210" s="117" t="s">
        <v>3863</v>
      </c>
      <c r="BD210" s="117" t="s">
        <v>4561</v>
      </c>
      <c r="BE210" s="117" t="s">
        <v>4561</v>
      </c>
      <c r="BF210" s="2"/>
      <c r="BG210" s="3"/>
      <c r="BH210" s="3"/>
      <c r="BI210" s="3"/>
      <c r="BJ210" s="3"/>
    </row>
    <row r="211" spans="1:62" ht="15">
      <c r="A211" s="66" t="s">
        <v>392</v>
      </c>
      <c r="B211" s="67"/>
      <c r="C211" s="67"/>
      <c r="D211" s="68">
        <v>50</v>
      </c>
      <c r="E211" s="70"/>
      <c r="F211" s="105" t="str">
        <f>HYPERLINK("https://yt3.ggpht.com/ytc/AIf8zZTN8dBxY3cWUexhgFtqnWgqAPix1ySsepemOOloFcNSPDAr9T6VKfEaqL2SuOv5=s88-c-k-c0x00ffffff-no-rj")</f>
        <v>https://yt3.ggpht.com/ytc/AIf8zZTN8dBxY3cWUexhgFtqnWgqAPix1ySsepemOOloFcNSPDAr9T6VKfEaqL2SuOv5=s88-c-k-c0x00ffffff-no-rj</v>
      </c>
      <c r="G211" s="67"/>
      <c r="H211" s="71" t="s">
        <v>2622</v>
      </c>
      <c r="I211" s="72"/>
      <c r="J211" s="72" t="s">
        <v>159</v>
      </c>
      <c r="K211" s="71" t="s">
        <v>2622</v>
      </c>
      <c r="L211" s="75">
        <v>1</v>
      </c>
      <c r="M211" s="76">
        <v>8997.05859375</v>
      </c>
      <c r="N211" s="76">
        <v>6935.8603515625</v>
      </c>
      <c r="O211" s="77"/>
      <c r="P211" s="78"/>
      <c r="Q211" s="78"/>
      <c r="R211" s="90"/>
      <c r="S211" s="49">
        <v>0</v>
      </c>
      <c r="T211" s="49">
        <v>1</v>
      </c>
      <c r="U211" s="50">
        <v>0</v>
      </c>
      <c r="V211" s="50">
        <v>0.220844</v>
      </c>
      <c r="W211" s="51"/>
      <c r="X211" s="51"/>
      <c r="Y211" s="51"/>
      <c r="Z211" s="50"/>
      <c r="AA211" s="73">
        <v>211</v>
      </c>
      <c r="AB211" s="73"/>
      <c r="AC211" s="74"/>
      <c r="AD211" s="81" t="s">
        <v>2622</v>
      </c>
      <c r="AE211" s="81"/>
      <c r="AF211" s="81"/>
      <c r="AG211" s="81"/>
      <c r="AH211" s="81"/>
      <c r="AI211" s="81" t="s">
        <v>1858</v>
      </c>
      <c r="AJ211" s="88">
        <v>45033.857141203705</v>
      </c>
      <c r="AK211" s="86" t="str">
        <f>HYPERLINK("https://yt3.ggpht.com/ytc/AIf8zZTN8dBxY3cWUexhgFtqnWgqAPix1ySsepemOOloFcNSPDAr9T6VKfEaqL2SuOv5=s88-c-k-c0x00ffffff-no-rj")</f>
        <v>https://yt3.ggpht.com/ytc/AIf8zZTN8dBxY3cWUexhgFtqnWgqAPix1ySsepemOOloFcNSPDAr9T6VKfEaqL2SuOv5=s88-c-k-c0x00ffffff-no-rj</v>
      </c>
      <c r="AL211" s="81">
        <v>0</v>
      </c>
      <c r="AM211" s="81">
        <v>0</v>
      </c>
      <c r="AN211" s="81">
        <v>0</v>
      </c>
      <c r="AO211" s="81" t="b">
        <v>0</v>
      </c>
      <c r="AP211" s="81">
        <v>0</v>
      </c>
      <c r="AQ211" s="81"/>
      <c r="AR211" s="81"/>
      <c r="AS211" s="81" t="s">
        <v>3378</v>
      </c>
      <c r="AT211" s="86" t="str">
        <f>HYPERLINK("https://www.youtube.com/channel/UCswxiL8yA-zlE2yQL0NSiGA")</f>
        <v>https://www.youtube.com/channel/UCswxiL8yA-zlE2yQL0NSiGA</v>
      </c>
      <c r="AU211" s="81" t="str">
        <f>REPLACE(INDEX(GroupVertices[Group],MATCH("~"&amp;Vertices[[#This Row],[Vertex]],GroupVertices[Vertex],0)),1,1,"")</f>
        <v>4</v>
      </c>
      <c r="AV211" s="49"/>
      <c r="AW211" s="49"/>
      <c r="AX211" s="49"/>
      <c r="AY211" s="49"/>
      <c r="AZ211" s="49"/>
      <c r="BA211" s="49"/>
      <c r="BB211" s="117" t="s">
        <v>3864</v>
      </c>
      <c r="BC211" s="117" t="s">
        <v>3864</v>
      </c>
      <c r="BD211" s="117" t="s">
        <v>4562</v>
      </c>
      <c r="BE211" s="117" t="s">
        <v>4562</v>
      </c>
      <c r="BF211" s="2"/>
      <c r="BG211" s="3"/>
      <c r="BH211" s="3"/>
      <c r="BI211" s="3"/>
      <c r="BJ211" s="3"/>
    </row>
    <row r="212" spans="1:62" ht="15">
      <c r="A212" s="66" t="s">
        <v>393</v>
      </c>
      <c r="B212" s="67"/>
      <c r="C212" s="67"/>
      <c r="D212" s="68">
        <v>50</v>
      </c>
      <c r="E212" s="70"/>
      <c r="F212" s="105" t="str">
        <f>HYPERLINK("https://yt3.ggpht.com/ytc/AIf8zZSrxP7jWuEAHMTq9RlUELiTdEiTFAMbl1giE8-tBQ=s88-c-k-c0x00ffffff-no-rj")</f>
        <v>https://yt3.ggpht.com/ytc/AIf8zZSrxP7jWuEAHMTq9RlUELiTdEiTFAMbl1giE8-tBQ=s88-c-k-c0x00ffffff-no-rj</v>
      </c>
      <c r="G212" s="67"/>
      <c r="H212" s="71" t="s">
        <v>2623</v>
      </c>
      <c r="I212" s="72"/>
      <c r="J212" s="72" t="s">
        <v>159</v>
      </c>
      <c r="K212" s="71" t="s">
        <v>2623</v>
      </c>
      <c r="L212" s="75">
        <v>1</v>
      </c>
      <c r="M212" s="76">
        <v>9036.8818359375</v>
      </c>
      <c r="N212" s="76">
        <v>8520.58984375</v>
      </c>
      <c r="O212" s="77"/>
      <c r="P212" s="78"/>
      <c r="Q212" s="78"/>
      <c r="R212" s="90"/>
      <c r="S212" s="49">
        <v>0</v>
      </c>
      <c r="T212" s="49">
        <v>1</v>
      </c>
      <c r="U212" s="50">
        <v>0</v>
      </c>
      <c r="V212" s="50">
        <v>0.220844</v>
      </c>
      <c r="W212" s="51"/>
      <c r="X212" s="51"/>
      <c r="Y212" s="51"/>
      <c r="Z212" s="50"/>
      <c r="AA212" s="73">
        <v>212</v>
      </c>
      <c r="AB212" s="73"/>
      <c r="AC212" s="74"/>
      <c r="AD212" s="81" t="s">
        <v>2623</v>
      </c>
      <c r="AE212" s="81" t="s">
        <v>3159</v>
      </c>
      <c r="AF212" s="81"/>
      <c r="AG212" s="81"/>
      <c r="AH212" s="81"/>
      <c r="AI212" s="81" t="s">
        <v>3270</v>
      </c>
      <c r="AJ212" s="88">
        <v>39291.2287037037</v>
      </c>
      <c r="AK212" s="86" t="str">
        <f>HYPERLINK("https://yt3.ggpht.com/ytc/AIf8zZSrxP7jWuEAHMTq9RlUELiTdEiTFAMbl1giE8-tBQ=s88-c-k-c0x00ffffff-no-rj")</f>
        <v>https://yt3.ggpht.com/ytc/AIf8zZSrxP7jWuEAHMTq9RlUELiTdEiTFAMbl1giE8-tBQ=s88-c-k-c0x00ffffff-no-rj</v>
      </c>
      <c r="AL212" s="81">
        <v>7196</v>
      </c>
      <c r="AM212" s="81">
        <v>0</v>
      </c>
      <c r="AN212" s="81">
        <v>30</v>
      </c>
      <c r="AO212" s="81" t="b">
        <v>0</v>
      </c>
      <c r="AP212" s="81">
        <v>1</v>
      </c>
      <c r="AQ212" s="81"/>
      <c r="AR212" s="81"/>
      <c r="AS212" s="81" t="s">
        <v>3378</v>
      </c>
      <c r="AT212" s="86" t="str">
        <f>HYPERLINK("https://www.youtube.com/channel/UCVvHnILmW04dz4BKeztRWjg")</f>
        <v>https://www.youtube.com/channel/UCVvHnILmW04dz4BKeztRWjg</v>
      </c>
      <c r="AU212" s="81" t="str">
        <f>REPLACE(INDEX(GroupVertices[Group],MATCH("~"&amp;Vertices[[#This Row],[Vertex]],GroupVertices[Vertex],0)),1,1,"")</f>
        <v>4</v>
      </c>
      <c r="AV212" s="49"/>
      <c r="AW212" s="49"/>
      <c r="AX212" s="49"/>
      <c r="AY212" s="49"/>
      <c r="AZ212" s="49"/>
      <c r="BA212" s="49"/>
      <c r="BB212" s="117" t="s">
        <v>3865</v>
      </c>
      <c r="BC212" s="117" t="s">
        <v>3865</v>
      </c>
      <c r="BD212" s="117" t="s">
        <v>4563</v>
      </c>
      <c r="BE212" s="117" t="s">
        <v>4563</v>
      </c>
      <c r="BF212" s="2"/>
      <c r="BG212" s="3"/>
      <c r="BH212" s="3"/>
      <c r="BI212" s="3"/>
      <c r="BJ212" s="3"/>
    </row>
    <row r="213" spans="1:62" ht="15">
      <c r="A213" s="66" t="s">
        <v>394</v>
      </c>
      <c r="B213" s="67"/>
      <c r="C213" s="67"/>
      <c r="D213" s="68">
        <v>50</v>
      </c>
      <c r="E213" s="70"/>
      <c r="F213" s="105" t="str">
        <f>HYPERLINK("https://yt3.ggpht.com/ytc/AIf8zZS-zmqMgSgbB3Or2RutMfc-bPVsLxlE3SXX=s88-c-k-c0x00ffffff-no-rj")</f>
        <v>https://yt3.ggpht.com/ytc/AIf8zZS-zmqMgSgbB3Or2RutMfc-bPVsLxlE3SXX=s88-c-k-c0x00ffffff-no-rj</v>
      </c>
      <c r="G213" s="67"/>
      <c r="H213" s="71" t="s">
        <v>2624</v>
      </c>
      <c r="I213" s="72"/>
      <c r="J213" s="72" t="s">
        <v>159</v>
      </c>
      <c r="K213" s="71" t="s">
        <v>2624</v>
      </c>
      <c r="L213" s="75">
        <v>1</v>
      </c>
      <c r="M213" s="76">
        <v>8712.4365234375</v>
      </c>
      <c r="N213" s="76">
        <v>6667.54736328125</v>
      </c>
      <c r="O213" s="77"/>
      <c r="P213" s="78"/>
      <c r="Q213" s="78"/>
      <c r="R213" s="90"/>
      <c r="S213" s="49">
        <v>0</v>
      </c>
      <c r="T213" s="49">
        <v>1</v>
      </c>
      <c r="U213" s="50">
        <v>0</v>
      </c>
      <c r="V213" s="50">
        <v>0.220844</v>
      </c>
      <c r="W213" s="51"/>
      <c r="X213" s="51"/>
      <c r="Y213" s="51"/>
      <c r="Z213" s="50"/>
      <c r="AA213" s="73">
        <v>213</v>
      </c>
      <c r="AB213" s="73"/>
      <c r="AC213" s="74"/>
      <c r="AD213" s="81" t="s">
        <v>2624</v>
      </c>
      <c r="AE213" s="81"/>
      <c r="AF213" s="81"/>
      <c r="AG213" s="81"/>
      <c r="AH213" s="81"/>
      <c r="AI213" s="81" t="s">
        <v>3271</v>
      </c>
      <c r="AJ213" s="88">
        <v>40576.948067129626</v>
      </c>
      <c r="AK213" s="86" t="str">
        <f>HYPERLINK("https://yt3.ggpht.com/ytc/AIf8zZS-zmqMgSgbB3Or2RutMfc-bPVsLxlE3SXX=s88-c-k-c0x00ffffff-no-rj")</f>
        <v>https://yt3.ggpht.com/ytc/AIf8zZS-zmqMgSgbB3Or2RutMfc-bPVsLxlE3SXX=s88-c-k-c0x00ffffff-no-rj</v>
      </c>
      <c r="AL213" s="81">
        <v>0</v>
      </c>
      <c r="AM213" s="81">
        <v>0</v>
      </c>
      <c r="AN213" s="81">
        <v>0</v>
      </c>
      <c r="AO213" s="81" t="b">
        <v>0</v>
      </c>
      <c r="AP213" s="81">
        <v>0</v>
      </c>
      <c r="AQ213" s="81"/>
      <c r="AR213" s="81"/>
      <c r="AS213" s="81" t="s">
        <v>3378</v>
      </c>
      <c r="AT213" s="86" t="str">
        <f>HYPERLINK("https://www.youtube.com/channel/UCuYAj8_L7-HTsUJ0KXq6VMg")</f>
        <v>https://www.youtube.com/channel/UCuYAj8_L7-HTsUJ0KXq6VMg</v>
      </c>
      <c r="AU213" s="81" t="str">
        <f>REPLACE(INDEX(GroupVertices[Group],MATCH("~"&amp;Vertices[[#This Row],[Vertex]],GroupVertices[Vertex],0)),1,1,"")</f>
        <v>4</v>
      </c>
      <c r="AV213" s="49" t="s">
        <v>3670</v>
      </c>
      <c r="AW213" s="49" t="s">
        <v>3670</v>
      </c>
      <c r="AX213" s="49" t="s">
        <v>2414</v>
      </c>
      <c r="AY213" s="49" t="s">
        <v>2414</v>
      </c>
      <c r="AZ213" s="49"/>
      <c r="BA213" s="49"/>
      <c r="BB213" s="117" t="s">
        <v>3866</v>
      </c>
      <c r="BC213" s="117" t="s">
        <v>3866</v>
      </c>
      <c r="BD213" s="117" t="s">
        <v>4564</v>
      </c>
      <c r="BE213" s="117" t="s">
        <v>4564</v>
      </c>
      <c r="BF213" s="2"/>
      <c r="BG213" s="3"/>
      <c r="BH213" s="3"/>
      <c r="BI213" s="3"/>
      <c r="BJ213" s="3"/>
    </row>
    <row r="214" spans="1:62" ht="15">
      <c r="A214" s="66" t="s">
        <v>395</v>
      </c>
      <c r="B214" s="67"/>
      <c r="C214" s="67"/>
      <c r="D214" s="68">
        <v>50</v>
      </c>
      <c r="E214" s="70"/>
      <c r="F214" s="105" t="str">
        <f>HYPERLINK("https://yt3.ggpht.com/ytc/AIf8zZTBRLS0WeEBd5doYXS6pX3AHwfZ8jJqodB6n-MYIi33h32oVD6-dcKn7GJ_9dyu=s88-c-k-c0x00ffffff-no-rj")</f>
        <v>https://yt3.ggpht.com/ytc/AIf8zZTBRLS0WeEBd5doYXS6pX3AHwfZ8jJqodB6n-MYIi33h32oVD6-dcKn7GJ_9dyu=s88-c-k-c0x00ffffff-no-rj</v>
      </c>
      <c r="G214" s="67"/>
      <c r="H214" s="71" t="s">
        <v>2625</v>
      </c>
      <c r="I214" s="72"/>
      <c r="J214" s="72" t="s">
        <v>159</v>
      </c>
      <c r="K214" s="71" t="s">
        <v>2625</v>
      </c>
      <c r="L214" s="75">
        <v>1</v>
      </c>
      <c r="M214" s="76">
        <v>9824.3466796875</v>
      </c>
      <c r="N214" s="76">
        <v>8411.4658203125</v>
      </c>
      <c r="O214" s="77"/>
      <c r="P214" s="78"/>
      <c r="Q214" s="78"/>
      <c r="R214" s="90"/>
      <c r="S214" s="49">
        <v>0</v>
      </c>
      <c r="T214" s="49">
        <v>1</v>
      </c>
      <c r="U214" s="50">
        <v>0</v>
      </c>
      <c r="V214" s="50">
        <v>0.220844</v>
      </c>
      <c r="W214" s="51"/>
      <c r="X214" s="51"/>
      <c r="Y214" s="51"/>
      <c r="Z214" s="50"/>
      <c r="AA214" s="73">
        <v>214</v>
      </c>
      <c r="AB214" s="73"/>
      <c r="AC214" s="74"/>
      <c r="AD214" s="81" t="s">
        <v>2625</v>
      </c>
      <c r="AE214" s="81"/>
      <c r="AF214" s="81"/>
      <c r="AG214" s="81"/>
      <c r="AH214" s="81"/>
      <c r="AI214" s="81" t="s">
        <v>1861</v>
      </c>
      <c r="AJ214" s="88">
        <v>45039.00476851852</v>
      </c>
      <c r="AK214" s="86" t="str">
        <f>HYPERLINK("https://yt3.ggpht.com/ytc/AIf8zZTBRLS0WeEBd5doYXS6pX3AHwfZ8jJqodB6n-MYIi33h32oVD6-dcKn7GJ_9dyu=s88-c-k-c0x00ffffff-no-rj")</f>
        <v>https://yt3.ggpht.com/ytc/AIf8zZTBRLS0WeEBd5doYXS6pX3AHwfZ8jJqodB6n-MYIi33h32oVD6-dcKn7GJ_9dyu=s88-c-k-c0x00ffffff-no-rj</v>
      </c>
      <c r="AL214" s="81">
        <v>0</v>
      </c>
      <c r="AM214" s="81">
        <v>0</v>
      </c>
      <c r="AN214" s="81">
        <v>0</v>
      </c>
      <c r="AO214" s="81" t="b">
        <v>0</v>
      </c>
      <c r="AP214" s="81">
        <v>0</v>
      </c>
      <c r="AQ214" s="81"/>
      <c r="AR214" s="81"/>
      <c r="AS214" s="81" t="s">
        <v>3378</v>
      </c>
      <c r="AT214" s="86" t="str">
        <f>HYPERLINK("https://www.youtube.com/channel/UCPHMAzVm59vOlpXsfi406kg")</f>
        <v>https://www.youtube.com/channel/UCPHMAzVm59vOlpXsfi406kg</v>
      </c>
      <c r="AU214" s="81" t="str">
        <f>REPLACE(INDEX(GroupVertices[Group],MATCH("~"&amp;Vertices[[#This Row],[Vertex]],GroupVertices[Vertex],0)),1,1,"")</f>
        <v>4</v>
      </c>
      <c r="AV214" s="49"/>
      <c r="AW214" s="49"/>
      <c r="AX214" s="49"/>
      <c r="AY214" s="49"/>
      <c r="AZ214" s="49"/>
      <c r="BA214" s="49"/>
      <c r="BB214" s="117" t="s">
        <v>3867</v>
      </c>
      <c r="BC214" s="117" t="s">
        <v>3867</v>
      </c>
      <c r="BD214" s="117" t="s">
        <v>4565</v>
      </c>
      <c r="BE214" s="117" t="s">
        <v>4565</v>
      </c>
      <c r="BF214" s="2"/>
      <c r="BG214" s="3"/>
      <c r="BH214" s="3"/>
      <c r="BI214" s="3"/>
      <c r="BJ214" s="3"/>
    </row>
    <row r="215" spans="1:62" ht="15">
      <c r="A215" s="66" t="s">
        <v>396</v>
      </c>
      <c r="B215" s="67"/>
      <c r="C215" s="67"/>
      <c r="D215" s="68">
        <v>50</v>
      </c>
      <c r="E215" s="70"/>
      <c r="F215" s="105" t="str">
        <f>HYPERLINK("https://yt3.ggpht.com/B46JC5jdSON_1NtiVMIEewoyx_2o-jepx2PMGogw-dMJ-gIieIsUkX0ta-r5dUAxh8JlU0GnJQ=s88-c-k-c0x00ffffff-no-rj")</f>
        <v>https://yt3.ggpht.com/B46JC5jdSON_1NtiVMIEewoyx_2o-jepx2PMGogw-dMJ-gIieIsUkX0ta-r5dUAxh8JlU0GnJQ=s88-c-k-c0x00ffffff-no-rj</v>
      </c>
      <c r="G215" s="67"/>
      <c r="H215" s="71" t="s">
        <v>2626</v>
      </c>
      <c r="I215" s="72"/>
      <c r="J215" s="72" t="s">
        <v>159</v>
      </c>
      <c r="K215" s="71" t="s">
        <v>2626</v>
      </c>
      <c r="L215" s="75">
        <v>1</v>
      </c>
      <c r="M215" s="76">
        <v>8834.265625</v>
      </c>
      <c r="N215" s="76">
        <v>5843.28369140625</v>
      </c>
      <c r="O215" s="77"/>
      <c r="P215" s="78"/>
      <c r="Q215" s="78"/>
      <c r="R215" s="90"/>
      <c r="S215" s="49">
        <v>0</v>
      </c>
      <c r="T215" s="49">
        <v>1</v>
      </c>
      <c r="U215" s="50">
        <v>0</v>
      </c>
      <c r="V215" s="50">
        <v>0.220844</v>
      </c>
      <c r="W215" s="51"/>
      <c r="X215" s="51"/>
      <c r="Y215" s="51"/>
      <c r="Z215" s="50"/>
      <c r="AA215" s="73">
        <v>215</v>
      </c>
      <c r="AB215" s="73"/>
      <c r="AC215" s="74"/>
      <c r="AD215" s="81" t="s">
        <v>2626</v>
      </c>
      <c r="AE215" s="81"/>
      <c r="AF215" s="81"/>
      <c r="AG215" s="81"/>
      <c r="AH215" s="81"/>
      <c r="AI215" s="81" t="s">
        <v>1862</v>
      </c>
      <c r="AJ215" s="88">
        <v>42651.83997685185</v>
      </c>
      <c r="AK215" s="86" t="str">
        <f>HYPERLINK("https://yt3.ggpht.com/B46JC5jdSON_1NtiVMIEewoyx_2o-jepx2PMGogw-dMJ-gIieIsUkX0ta-r5dUAxh8JlU0GnJQ=s88-c-k-c0x00ffffff-no-rj")</f>
        <v>https://yt3.ggpht.com/B46JC5jdSON_1NtiVMIEewoyx_2o-jepx2PMGogw-dMJ-gIieIsUkX0ta-r5dUAxh8JlU0GnJQ=s88-c-k-c0x00ffffff-no-rj</v>
      </c>
      <c r="AL215" s="81">
        <v>0</v>
      </c>
      <c r="AM215" s="81">
        <v>0</v>
      </c>
      <c r="AN215" s="81">
        <v>2</v>
      </c>
      <c r="AO215" s="81" t="b">
        <v>0</v>
      </c>
      <c r="AP215" s="81">
        <v>0</v>
      </c>
      <c r="AQ215" s="81"/>
      <c r="AR215" s="81"/>
      <c r="AS215" s="81" t="s">
        <v>3378</v>
      </c>
      <c r="AT215" s="86" t="str">
        <f>HYPERLINK("https://www.youtube.com/channel/UCWoXJ1aX8L444JNZD0xF62w")</f>
        <v>https://www.youtube.com/channel/UCWoXJ1aX8L444JNZD0xF62w</v>
      </c>
      <c r="AU215" s="81" t="str">
        <f>REPLACE(INDEX(GroupVertices[Group],MATCH("~"&amp;Vertices[[#This Row],[Vertex]],GroupVertices[Vertex],0)),1,1,"")</f>
        <v>4</v>
      </c>
      <c r="AV215" s="49"/>
      <c r="AW215" s="49"/>
      <c r="AX215" s="49"/>
      <c r="AY215" s="49"/>
      <c r="AZ215" s="49"/>
      <c r="BA215" s="49"/>
      <c r="BB215" s="117" t="s">
        <v>3868</v>
      </c>
      <c r="BC215" s="117" t="s">
        <v>3868</v>
      </c>
      <c r="BD215" s="117" t="s">
        <v>4566</v>
      </c>
      <c r="BE215" s="117" t="s">
        <v>4566</v>
      </c>
      <c r="BF215" s="2"/>
      <c r="BG215" s="3"/>
      <c r="BH215" s="3"/>
      <c r="BI215" s="3"/>
      <c r="BJ215" s="3"/>
    </row>
    <row r="216" spans="1:62" ht="15">
      <c r="A216" s="66" t="s">
        <v>397</v>
      </c>
      <c r="B216" s="67"/>
      <c r="C216" s="67"/>
      <c r="D216" s="68">
        <v>50</v>
      </c>
      <c r="E216" s="70"/>
      <c r="F216" s="105" t="str">
        <f>HYPERLINK("https://yt3.ggpht.com/ytc/AIf8zZRQbo_JtRk39f6DyP9XMmaUQYzi6vEBdKdmKw=s88-c-k-c0x00ffffff-no-rj")</f>
        <v>https://yt3.ggpht.com/ytc/AIf8zZRQbo_JtRk39f6DyP9XMmaUQYzi6vEBdKdmKw=s88-c-k-c0x00ffffff-no-rj</v>
      </c>
      <c r="G216" s="67"/>
      <c r="H216" s="71" t="s">
        <v>2627</v>
      </c>
      <c r="I216" s="72"/>
      <c r="J216" s="72" t="s">
        <v>159</v>
      </c>
      <c r="K216" s="71" t="s">
        <v>2627</v>
      </c>
      <c r="L216" s="75">
        <v>1</v>
      </c>
      <c r="M216" s="76">
        <v>9829.7119140625</v>
      </c>
      <c r="N216" s="76">
        <v>7224.69970703125</v>
      </c>
      <c r="O216" s="77"/>
      <c r="P216" s="78"/>
      <c r="Q216" s="78"/>
      <c r="R216" s="90"/>
      <c r="S216" s="49">
        <v>0</v>
      </c>
      <c r="T216" s="49">
        <v>1</v>
      </c>
      <c r="U216" s="50">
        <v>0</v>
      </c>
      <c r="V216" s="50">
        <v>0.220844</v>
      </c>
      <c r="W216" s="51"/>
      <c r="X216" s="51"/>
      <c r="Y216" s="51"/>
      <c r="Z216" s="50"/>
      <c r="AA216" s="73">
        <v>216</v>
      </c>
      <c r="AB216" s="73"/>
      <c r="AC216" s="74"/>
      <c r="AD216" s="81" t="s">
        <v>2627</v>
      </c>
      <c r="AE216" s="81"/>
      <c r="AF216" s="81"/>
      <c r="AG216" s="81"/>
      <c r="AH216" s="81"/>
      <c r="AI216" s="81" t="s">
        <v>1863</v>
      </c>
      <c r="AJ216" s="88">
        <v>39253.0050462963</v>
      </c>
      <c r="AK216" s="86" t="str">
        <f>HYPERLINK("https://yt3.ggpht.com/ytc/AIf8zZRQbo_JtRk39f6DyP9XMmaUQYzi6vEBdKdmKw=s88-c-k-c0x00ffffff-no-rj")</f>
        <v>https://yt3.ggpht.com/ytc/AIf8zZRQbo_JtRk39f6DyP9XMmaUQYzi6vEBdKdmKw=s88-c-k-c0x00ffffff-no-rj</v>
      </c>
      <c r="AL216" s="81">
        <v>0</v>
      </c>
      <c r="AM216" s="81">
        <v>0</v>
      </c>
      <c r="AN216" s="81">
        <v>6</v>
      </c>
      <c r="AO216" s="81" t="b">
        <v>0</v>
      </c>
      <c r="AP216" s="81">
        <v>0</v>
      </c>
      <c r="AQ216" s="81"/>
      <c r="AR216" s="81"/>
      <c r="AS216" s="81" t="s">
        <v>3378</v>
      </c>
      <c r="AT216" s="86" t="str">
        <f>HYPERLINK("https://www.youtube.com/channel/UCTrOox6jyPqqYnZuId2s5CA")</f>
        <v>https://www.youtube.com/channel/UCTrOox6jyPqqYnZuId2s5CA</v>
      </c>
      <c r="AU216" s="81" t="str">
        <f>REPLACE(INDEX(GroupVertices[Group],MATCH("~"&amp;Vertices[[#This Row],[Vertex]],GroupVertices[Vertex],0)),1,1,"")</f>
        <v>4</v>
      </c>
      <c r="AV216" s="49"/>
      <c r="AW216" s="49"/>
      <c r="AX216" s="49"/>
      <c r="AY216" s="49"/>
      <c r="AZ216" s="49"/>
      <c r="BA216" s="49"/>
      <c r="BB216" s="117" t="s">
        <v>3869</v>
      </c>
      <c r="BC216" s="117" t="s">
        <v>3869</v>
      </c>
      <c r="BD216" s="117" t="s">
        <v>4567</v>
      </c>
      <c r="BE216" s="117" t="s">
        <v>4567</v>
      </c>
      <c r="BF216" s="2"/>
      <c r="BG216" s="3"/>
      <c r="BH216" s="3"/>
      <c r="BI216" s="3"/>
      <c r="BJ216" s="3"/>
    </row>
    <row r="217" spans="1:62" ht="15">
      <c r="A217" s="66" t="s">
        <v>398</v>
      </c>
      <c r="B217" s="67"/>
      <c r="C217" s="67"/>
      <c r="D217" s="68">
        <v>50</v>
      </c>
      <c r="E217" s="70"/>
      <c r="F217" s="105" t="str">
        <f>HYPERLINK("https://yt3.ggpht.com/ytc/AIf8zZRQ9r4XytXMV9d9mBOHPGG0HmQjhqLcIPHFZg=s88-c-k-c0x00ffffff-no-rj")</f>
        <v>https://yt3.ggpht.com/ytc/AIf8zZRQ9r4XytXMV9d9mBOHPGG0HmQjhqLcIPHFZg=s88-c-k-c0x00ffffff-no-rj</v>
      </c>
      <c r="G217" s="67"/>
      <c r="H217" s="71" t="s">
        <v>2628</v>
      </c>
      <c r="I217" s="72"/>
      <c r="J217" s="72" t="s">
        <v>159</v>
      </c>
      <c r="K217" s="71" t="s">
        <v>2628</v>
      </c>
      <c r="L217" s="75">
        <v>1</v>
      </c>
      <c r="M217" s="76">
        <v>7933.31494140625</v>
      </c>
      <c r="N217" s="76">
        <v>9428.458984375</v>
      </c>
      <c r="O217" s="77"/>
      <c r="P217" s="78"/>
      <c r="Q217" s="78"/>
      <c r="R217" s="90"/>
      <c r="S217" s="49">
        <v>0</v>
      </c>
      <c r="T217" s="49">
        <v>1</v>
      </c>
      <c r="U217" s="50">
        <v>0</v>
      </c>
      <c r="V217" s="50">
        <v>0.220844</v>
      </c>
      <c r="W217" s="51"/>
      <c r="X217" s="51"/>
      <c r="Y217" s="51"/>
      <c r="Z217" s="50"/>
      <c r="AA217" s="73">
        <v>217</v>
      </c>
      <c r="AB217" s="73"/>
      <c r="AC217" s="74"/>
      <c r="AD217" s="81" t="s">
        <v>2628</v>
      </c>
      <c r="AE217" s="81"/>
      <c r="AF217" s="81"/>
      <c r="AG217" s="81"/>
      <c r="AH217" s="81"/>
      <c r="AI217" s="81" t="s">
        <v>1864</v>
      </c>
      <c r="AJ217" s="88">
        <v>39350.677256944444</v>
      </c>
      <c r="AK217" s="86" t="str">
        <f>HYPERLINK("https://yt3.ggpht.com/ytc/AIf8zZRQ9r4XytXMV9d9mBOHPGG0HmQjhqLcIPHFZg=s88-c-k-c0x00ffffff-no-rj")</f>
        <v>https://yt3.ggpht.com/ytc/AIf8zZRQ9r4XytXMV9d9mBOHPGG0HmQjhqLcIPHFZg=s88-c-k-c0x00ffffff-no-rj</v>
      </c>
      <c r="AL217" s="81">
        <v>1100</v>
      </c>
      <c r="AM217" s="81">
        <v>0</v>
      </c>
      <c r="AN217" s="81">
        <v>6</v>
      </c>
      <c r="AO217" s="81" t="b">
        <v>0</v>
      </c>
      <c r="AP217" s="81">
        <v>5</v>
      </c>
      <c r="AQ217" s="81"/>
      <c r="AR217" s="81"/>
      <c r="AS217" s="81" t="s">
        <v>3378</v>
      </c>
      <c r="AT217" s="86" t="str">
        <f>HYPERLINK("https://www.youtube.com/channel/UCARipcc1VkrLnzLwHT1Cacg")</f>
        <v>https://www.youtube.com/channel/UCARipcc1VkrLnzLwHT1Cacg</v>
      </c>
      <c r="AU217" s="81" t="str">
        <f>REPLACE(INDEX(GroupVertices[Group],MATCH("~"&amp;Vertices[[#This Row],[Vertex]],GroupVertices[Vertex],0)),1,1,"")</f>
        <v>4</v>
      </c>
      <c r="AV217" s="49"/>
      <c r="AW217" s="49"/>
      <c r="AX217" s="49"/>
      <c r="AY217" s="49"/>
      <c r="AZ217" s="49"/>
      <c r="BA217" s="49"/>
      <c r="BB217" s="117" t="s">
        <v>3870</v>
      </c>
      <c r="BC217" s="117" t="s">
        <v>3870</v>
      </c>
      <c r="BD217" s="117" t="s">
        <v>4568</v>
      </c>
      <c r="BE217" s="117" t="s">
        <v>4568</v>
      </c>
      <c r="BF217" s="2"/>
      <c r="BG217" s="3"/>
      <c r="BH217" s="3"/>
      <c r="BI217" s="3"/>
      <c r="BJ217" s="3"/>
    </row>
    <row r="218" spans="1:62" ht="15">
      <c r="A218" s="66" t="s">
        <v>400</v>
      </c>
      <c r="B218" s="67"/>
      <c r="C218" s="67"/>
      <c r="D218" s="68">
        <v>50</v>
      </c>
      <c r="E218" s="70"/>
      <c r="F218" s="105" t="str">
        <f>HYPERLINK("https://yt3.ggpht.com/ytc/AIf8zZS6SuefRxGyi0ROfMAe3d5VYecF5Of99VMaflOb3rU=s88-c-k-c0x00ffffff-no-rj")</f>
        <v>https://yt3.ggpht.com/ytc/AIf8zZS6SuefRxGyi0ROfMAe3d5VYecF5Of99VMaflOb3rU=s88-c-k-c0x00ffffff-no-rj</v>
      </c>
      <c r="G218" s="67"/>
      <c r="H218" s="71" t="s">
        <v>2630</v>
      </c>
      <c r="I218" s="72"/>
      <c r="J218" s="72" t="s">
        <v>159</v>
      </c>
      <c r="K218" s="71" t="s">
        <v>2630</v>
      </c>
      <c r="L218" s="75">
        <v>1</v>
      </c>
      <c r="M218" s="76">
        <v>9892.853515625</v>
      </c>
      <c r="N218" s="76">
        <v>8098.32275390625</v>
      </c>
      <c r="O218" s="77"/>
      <c r="P218" s="78"/>
      <c r="Q218" s="78"/>
      <c r="R218" s="90"/>
      <c r="S218" s="49">
        <v>0</v>
      </c>
      <c r="T218" s="49">
        <v>1</v>
      </c>
      <c r="U218" s="50">
        <v>0</v>
      </c>
      <c r="V218" s="50">
        <v>0.220844</v>
      </c>
      <c r="W218" s="51"/>
      <c r="X218" s="51"/>
      <c r="Y218" s="51"/>
      <c r="Z218" s="50"/>
      <c r="AA218" s="73">
        <v>218</v>
      </c>
      <c r="AB218" s="73"/>
      <c r="AC218" s="74"/>
      <c r="AD218" s="81" t="s">
        <v>2630</v>
      </c>
      <c r="AE218" s="81"/>
      <c r="AF218" s="81"/>
      <c r="AG218" s="81"/>
      <c r="AH218" s="81"/>
      <c r="AI218" s="81" t="s">
        <v>1866</v>
      </c>
      <c r="AJ218" s="88">
        <v>41595.209016203706</v>
      </c>
      <c r="AK218" s="86" t="str">
        <f>HYPERLINK("https://yt3.ggpht.com/ytc/AIf8zZS6SuefRxGyi0ROfMAe3d5VYecF5Of99VMaflOb3rU=s88-c-k-c0x00ffffff-no-rj")</f>
        <v>https://yt3.ggpht.com/ytc/AIf8zZS6SuefRxGyi0ROfMAe3d5VYecF5Of99VMaflOb3rU=s88-c-k-c0x00ffffff-no-rj</v>
      </c>
      <c r="AL218" s="81">
        <v>1326</v>
      </c>
      <c r="AM218" s="81">
        <v>0</v>
      </c>
      <c r="AN218" s="81">
        <v>0</v>
      </c>
      <c r="AO218" s="81" t="b">
        <v>0</v>
      </c>
      <c r="AP218" s="81">
        <v>2</v>
      </c>
      <c r="AQ218" s="81"/>
      <c r="AR218" s="81"/>
      <c r="AS218" s="81" t="s">
        <v>3378</v>
      </c>
      <c r="AT218" s="86" t="str">
        <f>HYPERLINK("https://www.youtube.com/channel/UCHC7WuQHn1-DAIROJrZaW7g")</f>
        <v>https://www.youtube.com/channel/UCHC7WuQHn1-DAIROJrZaW7g</v>
      </c>
      <c r="AU218" s="81" t="str">
        <f>REPLACE(INDEX(GroupVertices[Group],MATCH("~"&amp;Vertices[[#This Row],[Vertex]],GroupVertices[Vertex],0)),1,1,"")</f>
        <v>4</v>
      </c>
      <c r="AV218" s="49"/>
      <c r="AW218" s="49"/>
      <c r="AX218" s="49"/>
      <c r="AY218" s="49"/>
      <c r="AZ218" s="49"/>
      <c r="BA218" s="49"/>
      <c r="BB218" s="117" t="s">
        <v>3872</v>
      </c>
      <c r="BC218" s="117" t="s">
        <v>3872</v>
      </c>
      <c r="BD218" s="117" t="s">
        <v>4570</v>
      </c>
      <c r="BE218" s="117" t="s">
        <v>4570</v>
      </c>
      <c r="BF218" s="2"/>
      <c r="BG218" s="3"/>
      <c r="BH218" s="3"/>
      <c r="BI218" s="3"/>
      <c r="BJ218" s="3"/>
    </row>
    <row r="219" spans="1:62" ht="15">
      <c r="A219" s="66" t="s">
        <v>401</v>
      </c>
      <c r="B219" s="67"/>
      <c r="C219" s="67"/>
      <c r="D219" s="68">
        <v>50</v>
      </c>
      <c r="E219" s="70"/>
      <c r="F219" s="105" t="str">
        <f>HYPERLINK("https://yt3.ggpht.com/0OUTMPnPGND6fpZaNLGZttPuY4FCqxJyxhSrGlAxaKOKfViQxdIZTOcXdRMjOYZalsqNHuPCAw=s88-c-k-c0x00ffffff-no-rj")</f>
        <v>https://yt3.ggpht.com/0OUTMPnPGND6fpZaNLGZttPuY4FCqxJyxhSrGlAxaKOKfViQxdIZTOcXdRMjOYZalsqNHuPCAw=s88-c-k-c0x00ffffff-no-rj</v>
      </c>
      <c r="G219" s="67"/>
      <c r="H219" s="71" t="s">
        <v>2631</v>
      </c>
      <c r="I219" s="72"/>
      <c r="J219" s="72" t="s">
        <v>159</v>
      </c>
      <c r="K219" s="71" t="s">
        <v>2631</v>
      </c>
      <c r="L219" s="75">
        <v>1</v>
      </c>
      <c r="M219" s="76">
        <v>8660.470703125</v>
      </c>
      <c r="N219" s="76">
        <v>8625.8291015625</v>
      </c>
      <c r="O219" s="77"/>
      <c r="P219" s="78"/>
      <c r="Q219" s="78"/>
      <c r="R219" s="90"/>
      <c r="S219" s="49">
        <v>0</v>
      </c>
      <c r="T219" s="49">
        <v>1</v>
      </c>
      <c r="U219" s="50">
        <v>0</v>
      </c>
      <c r="V219" s="50">
        <v>0.220844</v>
      </c>
      <c r="W219" s="51"/>
      <c r="X219" s="51"/>
      <c r="Y219" s="51"/>
      <c r="Z219" s="50"/>
      <c r="AA219" s="73">
        <v>219</v>
      </c>
      <c r="AB219" s="73"/>
      <c r="AC219" s="74"/>
      <c r="AD219" s="81" t="s">
        <v>2631</v>
      </c>
      <c r="AE219" s="81"/>
      <c r="AF219" s="81"/>
      <c r="AG219" s="81"/>
      <c r="AH219" s="81"/>
      <c r="AI219" s="81" t="s">
        <v>1867</v>
      </c>
      <c r="AJ219" s="88">
        <v>41190.99209490741</v>
      </c>
      <c r="AK219" s="86" t="str">
        <f>HYPERLINK("https://yt3.ggpht.com/0OUTMPnPGND6fpZaNLGZttPuY4FCqxJyxhSrGlAxaKOKfViQxdIZTOcXdRMjOYZalsqNHuPCAw=s88-c-k-c0x00ffffff-no-rj")</f>
        <v>https://yt3.ggpht.com/0OUTMPnPGND6fpZaNLGZttPuY4FCqxJyxhSrGlAxaKOKfViQxdIZTOcXdRMjOYZalsqNHuPCAw=s88-c-k-c0x00ffffff-no-rj</v>
      </c>
      <c r="AL219" s="81">
        <v>0</v>
      </c>
      <c r="AM219" s="81">
        <v>0</v>
      </c>
      <c r="AN219" s="81">
        <v>1</v>
      </c>
      <c r="AO219" s="81" t="b">
        <v>0</v>
      </c>
      <c r="AP219" s="81">
        <v>0</v>
      </c>
      <c r="AQ219" s="81"/>
      <c r="AR219" s="81"/>
      <c r="AS219" s="81" t="s">
        <v>3378</v>
      </c>
      <c r="AT219" s="86" t="str">
        <f>HYPERLINK("https://www.youtube.com/channel/UC9aYO_wkXbHlOi4qbx4vVTg")</f>
        <v>https://www.youtube.com/channel/UC9aYO_wkXbHlOi4qbx4vVTg</v>
      </c>
      <c r="AU219" s="81" t="str">
        <f>REPLACE(INDEX(GroupVertices[Group],MATCH("~"&amp;Vertices[[#This Row],[Vertex]],GroupVertices[Vertex],0)),1,1,"")</f>
        <v>4</v>
      </c>
      <c r="AV219" s="49"/>
      <c r="AW219" s="49"/>
      <c r="AX219" s="49"/>
      <c r="AY219" s="49"/>
      <c r="AZ219" s="49"/>
      <c r="BA219" s="49"/>
      <c r="BB219" s="117" t="s">
        <v>3873</v>
      </c>
      <c r="BC219" s="117" t="s">
        <v>3873</v>
      </c>
      <c r="BD219" s="117" t="s">
        <v>4571</v>
      </c>
      <c r="BE219" s="117" t="s">
        <v>4571</v>
      </c>
      <c r="BF219" s="2"/>
      <c r="BG219" s="3"/>
      <c r="BH219" s="3"/>
      <c r="BI219" s="3"/>
      <c r="BJ219" s="3"/>
    </row>
    <row r="220" spans="1:62" ht="15">
      <c r="A220" s="66" t="s">
        <v>402</v>
      </c>
      <c r="B220" s="67"/>
      <c r="C220" s="67"/>
      <c r="D220" s="68">
        <v>50</v>
      </c>
      <c r="E220" s="70"/>
      <c r="F220" s="105" t="str">
        <f>HYPERLINK("https://yt3.ggpht.com/GZUJRibN_GbC_jlBVdUG2B75JDvBDlEDnisj4XlqPEKtjPT7iSH2DHn0_-d51upgdNracnRwnw=s88-c-k-c0x00ffffff-no-rj")</f>
        <v>https://yt3.ggpht.com/GZUJRibN_GbC_jlBVdUG2B75JDvBDlEDnisj4XlqPEKtjPT7iSH2DHn0_-d51upgdNracnRwnw=s88-c-k-c0x00ffffff-no-rj</v>
      </c>
      <c r="G220" s="67"/>
      <c r="H220" s="71" t="s">
        <v>2632</v>
      </c>
      <c r="I220" s="72"/>
      <c r="J220" s="72" t="s">
        <v>159</v>
      </c>
      <c r="K220" s="71" t="s">
        <v>2632</v>
      </c>
      <c r="L220" s="75">
        <v>1</v>
      </c>
      <c r="M220" s="76">
        <v>8302.65234375</v>
      </c>
      <c r="N220" s="76">
        <v>8909.4638671875</v>
      </c>
      <c r="O220" s="77"/>
      <c r="P220" s="78"/>
      <c r="Q220" s="78"/>
      <c r="R220" s="90"/>
      <c r="S220" s="49">
        <v>0</v>
      </c>
      <c r="T220" s="49">
        <v>1</v>
      </c>
      <c r="U220" s="50">
        <v>0</v>
      </c>
      <c r="V220" s="50">
        <v>0.220844</v>
      </c>
      <c r="W220" s="51"/>
      <c r="X220" s="51"/>
      <c r="Y220" s="51"/>
      <c r="Z220" s="50"/>
      <c r="AA220" s="73">
        <v>220</v>
      </c>
      <c r="AB220" s="73"/>
      <c r="AC220" s="74"/>
      <c r="AD220" s="81" t="s">
        <v>2632</v>
      </c>
      <c r="AE220" s="81"/>
      <c r="AF220" s="81"/>
      <c r="AG220" s="81"/>
      <c r="AH220" s="81"/>
      <c r="AI220" s="81" t="s">
        <v>1868</v>
      </c>
      <c r="AJ220" s="88">
        <v>38934.33241898148</v>
      </c>
      <c r="AK220" s="86" t="str">
        <f>HYPERLINK("https://yt3.ggpht.com/GZUJRibN_GbC_jlBVdUG2B75JDvBDlEDnisj4XlqPEKtjPT7iSH2DHn0_-d51upgdNracnRwnw=s88-c-k-c0x00ffffff-no-rj")</f>
        <v>https://yt3.ggpht.com/GZUJRibN_GbC_jlBVdUG2B75JDvBDlEDnisj4XlqPEKtjPT7iSH2DHn0_-d51upgdNracnRwnw=s88-c-k-c0x00ffffff-no-rj</v>
      </c>
      <c r="AL220" s="81">
        <v>0</v>
      </c>
      <c r="AM220" s="81">
        <v>0</v>
      </c>
      <c r="AN220" s="81">
        <v>3</v>
      </c>
      <c r="AO220" s="81" t="b">
        <v>0</v>
      </c>
      <c r="AP220" s="81">
        <v>0</v>
      </c>
      <c r="AQ220" s="81"/>
      <c r="AR220" s="81"/>
      <c r="AS220" s="81" t="s">
        <v>3378</v>
      </c>
      <c r="AT220" s="86" t="str">
        <f>HYPERLINK("https://www.youtube.com/channel/UCBfmomeh4ZXMtw3GsQgaKoA")</f>
        <v>https://www.youtube.com/channel/UCBfmomeh4ZXMtw3GsQgaKoA</v>
      </c>
      <c r="AU220" s="81" t="str">
        <f>REPLACE(INDEX(GroupVertices[Group],MATCH("~"&amp;Vertices[[#This Row],[Vertex]],GroupVertices[Vertex],0)),1,1,"")</f>
        <v>4</v>
      </c>
      <c r="AV220" s="49"/>
      <c r="AW220" s="49"/>
      <c r="AX220" s="49"/>
      <c r="AY220" s="49"/>
      <c r="AZ220" s="49"/>
      <c r="BA220" s="49"/>
      <c r="BB220" s="117" t="s">
        <v>3874</v>
      </c>
      <c r="BC220" s="117" t="s">
        <v>3874</v>
      </c>
      <c r="BD220" s="117" t="s">
        <v>4572</v>
      </c>
      <c r="BE220" s="117" t="s">
        <v>4572</v>
      </c>
      <c r="BF220" s="2"/>
      <c r="BG220" s="3"/>
      <c r="BH220" s="3"/>
      <c r="BI220" s="3"/>
      <c r="BJ220" s="3"/>
    </row>
    <row r="221" spans="1:62" ht="15">
      <c r="A221" s="66" t="s">
        <v>403</v>
      </c>
      <c r="B221" s="67"/>
      <c r="C221" s="67"/>
      <c r="D221" s="68">
        <v>50</v>
      </c>
      <c r="E221" s="70"/>
      <c r="F221" s="105" t="str">
        <f>HYPERLINK("https://yt3.ggpht.com/ytc/AIf8zZRSbtt1-_YltiwSlj3sthzIKxP9qf5JXerWMiOgFg=s88-c-k-c0x00ffffff-no-rj")</f>
        <v>https://yt3.ggpht.com/ytc/AIf8zZRSbtt1-_YltiwSlj3sthzIKxP9qf5JXerWMiOgFg=s88-c-k-c0x00ffffff-no-rj</v>
      </c>
      <c r="G221" s="67"/>
      <c r="H221" s="71" t="s">
        <v>2633</v>
      </c>
      <c r="I221" s="72"/>
      <c r="J221" s="72" t="s">
        <v>159</v>
      </c>
      <c r="K221" s="71" t="s">
        <v>2633</v>
      </c>
      <c r="L221" s="75">
        <v>1</v>
      </c>
      <c r="M221" s="76">
        <v>9530.64453125</v>
      </c>
      <c r="N221" s="76">
        <v>6460.9931640625</v>
      </c>
      <c r="O221" s="77"/>
      <c r="P221" s="78"/>
      <c r="Q221" s="78"/>
      <c r="R221" s="90"/>
      <c r="S221" s="49">
        <v>0</v>
      </c>
      <c r="T221" s="49">
        <v>1</v>
      </c>
      <c r="U221" s="50">
        <v>0</v>
      </c>
      <c r="V221" s="50">
        <v>0.220844</v>
      </c>
      <c r="W221" s="51"/>
      <c r="X221" s="51"/>
      <c r="Y221" s="51"/>
      <c r="Z221" s="50"/>
      <c r="AA221" s="73">
        <v>221</v>
      </c>
      <c r="AB221" s="73"/>
      <c r="AC221" s="74"/>
      <c r="AD221" s="81" t="s">
        <v>2633</v>
      </c>
      <c r="AE221" s="81"/>
      <c r="AF221" s="81"/>
      <c r="AG221" s="81"/>
      <c r="AH221" s="81"/>
      <c r="AI221" s="81" t="s">
        <v>1869</v>
      </c>
      <c r="AJ221" s="88">
        <v>42031.19011574074</v>
      </c>
      <c r="AK221" s="86" t="str">
        <f>HYPERLINK("https://yt3.ggpht.com/ytc/AIf8zZRSbtt1-_YltiwSlj3sthzIKxP9qf5JXerWMiOgFg=s88-c-k-c0x00ffffff-no-rj")</f>
        <v>https://yt3.ggpht.com/ytc/AIf8zZRSbtt1-_YltiwSlj3sthzIKxP9qf5JXerWMiOgFg=s88-c-k-c0x00ffffff-no-rj</v>
      </c>
      <c r="AL221" s="81">
        <v>0</v>
      </c>
      <c r="AM221" s="81">
        <v>0</v>
      </c>
      <c r="AN221" s="81">
        <v>0</v>
      </c>
      <c r="AO221" s="81" t="b">
        <v>0</v>
      </c>
      <c r="AP221" s="81">
        <v>0</v>
      </c>
      <c r="AQ221" s="81"/>
      <c r="AR221" s="81"/>
      <c r="AS221" s="81" t="s">
        <v>3378</v>
      </c>
      <c r="AT221" s="86" t="str">
        <f>HYPERLINK("https://www.youtube.com/channel/UC5KiZOdnm5Mv2Siq_mFqdWA")</f>
        <v>https://www.youtube.com/channel/UC5KiZOdnm5Mv2Siq_mFqdWA</v>
      </c>
      <c r="AU221" s="81" t="str">
        <f>REPLACE(INDEX(GroupVertices[Group],MATCH("~"&amp;Vertices[[#This Row],[Vertex]],GroupVertices[Vertex],0)),1,1,"")</f>
        <v>4</v>
      </c>
      <c r="AV221" s="49"/>
      <c r="AW221" s="49"/>
      <c r="AX221" s="49"/>
      <c r="AY221" s="49"/>
      <c r="AZ221" s="49"/>
      <c r="BA221" s="49"/>
      <c r="BB221" s="117" t="s">
        <v>3875</v>
      </c>
      <c r="BC221" s="117" t="s">
        <v>3875</v>
      </c>
      <c r="BD221" s="117" t="s">
        <v>4573</v>
      </c>
      <c r="BE221" s="117" t="s">
        <v>4573</v>
      </c>
      <c r="BF221" s="2"/>
      <c r="BG221" s="3"/>
      <c r="BH221" s="3"/>
      <c r="BI221" s="3"/>
      <c r="BJ221" s="3"/>
    </row>
    <row r="222" spans="1:62" ht="15">
      <c r="A222" s="66" t="s">
        <v>404</v>
      </c>
      <c r="B222" s="67"/>
      <c r="C222" s="67"/>
      <c r="D222" s="68">
        <v>50</v>
      </c>
      <c r="E222" s="70"/>
      <c r="F222" s="105" t="str">
        <f>HYPERLINK("https://yt3.ggpht.com/q_SZrf6275g22H5FxiqtYTPJ8bCbWYqLUX51abxsu6g29yvwG8_9NijQXLTnua4g9pYoXEyd=s88-c-k-c0x00ffffff-no-rj")</f>
        <v>https://yt3.ggpht.com/q_SZrf6275g22H5FxiqtYTPJ8bCbWYqLUX51abxsu6g29yvwG8_9NijQXLTnua4g9pYoXEyd=s88-c-k-c0x00ffffff-no-rj</v>
      </c>
      <c r="G222" s="67"/>
      <c r="H222" s="71" t="s">
        <v>2634</v>
      </c>
      <c r="I222" s="72"/>
      <c r="J222" s="72" t="s">
        <v>159</v>
      </c>
      <c r="K222" s="71" t="s">
        <v>2634</v>
      </c>
      <c r="L222" s="75">
        <v>1</v>
      </c>
      <c r="M222" s="76">
        <v>7639.8427734375</v>
      </c>
      <c r="N222" s="76">
        <v>6501.4658203125</v>
      </c>
      <c r="O222" s="77"/>
      <c r="P222" s="78"/>
      <c r="Q222" s="78"/>
      <c r="R222" s="90"/>
      <c r="S222" s="49">
        <v>0</v>
      </c>
      <c r="T222" s="49">
        <v>1</v>
      </c>
      <c r="U222" s="50">
        <v>0</v>
      </c>
      <c r="V222" s="50">
        <v>0.220844</v>
      </c>
      <c r="W222" s="51"/>
      <c r="X222" s="51"/>
      <c r="Y222" s="51"/>
      <c r="Z222" s="50"/>
      <c r="AA222" s="73">
        <v>222</v>
      </c>
      <c r="AB222" s="73"/>
      <c r="AC222" s="74"/>
      <c r="AD222" s="81" t="s">
        <v>2634</v>
      </c>
      <c r="AE222" s="81"/>
      <c r="AF222" s="81"/>
      <c r="AG222" s="81"/>
      <c r="AH222" s="81"/>
      <c r="AI222" s="81" t="s">
        <v>1870</v>
      </c>
      <c r="AJ222" s="88">
        <v>39772.47193287037</v>
      </c>
      <c r="AK222" s="86" t="str">
        <f>HYPERLINK("https://yt3.ggpht.com/q_SZrf6275g22H5FxiqtYTPJ8bCbWYqLUX51abxsu6g29yvwG8_9NijQXLTnua4g9pYoXEyd=s88-c-k-c0x00ffffff-no-rj")</f>
        <v>https://yt3.ggpht.com/q_SZrf6275g22H5FxiqtYTPJ8bCbWYqLUX51abxsu6g29yvwG8_9NijQXLTnua4g9pYoXEyd=s88-c-k-c0x00ffffff-no-rj</v>
      </c>
      <c r="AL222" s="81">
        <v>2219</v>
      </c>
      <c r="AM222" s="81">
        <v>0</v>
      </c>
      <c r="AN222" s="81">
        <v>1</v>
      </c>
      <c r="AO222" s="81" t="b">
        <v>0</v>
      </c>
      <c r="AP222" s="81">
        <v>52</v>
      </c>
      <c r="AQ222" s="81"/>
      <c r="AR222" s="81"/>
      <c r="AS222" s="81" t="s">
        <v>3378</v>
      </c>
      <c r="AT222" s="86" t="str">
        <f>HYPERLINK("https://www.youtube.com/channel/UCxXGHaNmd9ZZ1kEv2xLpRCQ")</f>
        <v>https://www.youtube.com/channel/UCxXGHaNmd9ZZ1kEv2xLpRCQ</v>
      </c>
      <c r="AU222" s="81" t="str">
        <f>REPLACE(INDEX(GroupVertices[Group],MATCH("~"&amp;Vertices[[#This Row],[Vertex]],GroupVertices[Vertex],0)),1,1,"")</f>
        <v>4</v>
      </c>
      <c r="AV222" s="49"/>
      <c r="AW222" s="49"/>
      <c r="AX222" s="49"/>
      <c r="AY222" s="49"/>
      <c r="AZ222" s="49"/>
      <c r="BA222" s="49"/>
      <c r="BB222" s="117" t="s">
        <v>3876</v>
      </c>
      <c r="BC222" s="117" t="s">
        <v>3876</v>
      </c>
      <c r="BD222" s="117" t="s">
        <v>4574</v>
      </c>
      <c r="BE222" s="117" t="s">
        <v>4574</v>
      </c>
      <c r="BF222" s="2"/>
      <c r="BG222" s="3"/>
      <c r="BH222" s="3"/>
      <c r="BI222" s="3"/>
      <c r="BJ222" s="3"/>
    </row>
    <row r="223" spans="1:62" ht="15">
      <c r="A223" s="66" t="s">
        <v>405</v>
      </c>
      <c r="B223" s="67"/>
      <c r="C223" s="67"/>
      <c r="D223" s="68">
        <v>50</v>
      </c>
      <c r="E223" s="70"/>
      <c r="F223" s="105" t="str">
        <f>HYPERLINK("https://yt3.ggpht.com/ytc/AIf8zZTfZ-cNqqED3s0EjMtd7CX19fWDKRakCObcKprw=s88-c-k-c0x00ffffff-no-rj")</f>
        <v>https://yt3.ggpht.com/ytc/AIf8zZTfZ-cNqqED3s0EjMtd7CX19fWDKRakCObcKprw=s88-c-k-c0x00ffffff-no-rj</v>
      </c>
      <c r="G223" s="67"/>
      <c r="H223" s="71" t="s">
        <v>2635</v>
      </c>
      <c r="I223" s="72"/>
      <c r="J223" s="72" t="s">
        <v>159</v>
      </c>
      <c r="K223" s="71" t="s">
        <v>2635</v>
      </c>
      <c r="L223" s="75">
        <v>1</v>
      </c>
      <c r="M223" s="76">
        <v>9089.7109375</v>
      </c>
      <c r="N223" s="76">
        <v>9268.201171875</v>
      </c>
      <c r="O223" s="77"/>
      <c r="P223" s="78"/>
      <c r="Q223" s="78"/>
      <c r="R223" s="90"/>
      <c r="S223" s="49">
        <v>0</v>
      </c>
      <c r="T223" s="49">
        <v>1</v>
      </c>
      <c r="U223" s="50">
        <v>0</v>
      </c>
      <c r="V223" s="50">
        <v>0.220844</v>
      </c>
      <c r="W223" s="51"/>
      <c r="X223" s="51"/>
      <c r="Y223" s="51"/>
      <c r="Z223" s="50"/>
      <c r="AA223" s="73">
        <v>223</v>
      </c>
      <c r="AB223" s="73"/>
      <c r="AC223" s="74"/>
      <c r="AD223" s="81" t="s">
        <v>2635</v>
      </c>
      <c r="AE223" s="81"/>
      <c r="AF223" s="81"/>
      <c r="AG223" s="81"/>
      <c r="AH223" s="81"/>
      <c r="AI223" s="81" t="s">
        <v>1871</v>
      </c>
      <c r="AJ223" s="88">
        <v>38881.4272337963</v>
      </c>
      <c r="AK223" s="86" t="str">
        <f>HYPERLINK("https://yt3.ggpht.com/ytc/AIf8zZTfZ-cNqqED3s0EjMtd7CX19fWDKRakCObcKprw=s88-c-k-c0x00ffffff-no-rj")</f>
        <v>https://yt3.ggpht.com/ytc/AIf8zZTfZ-cNqqED3s0EjMtd7CX19fWDKRakCObcKprw=s88-c-k-c0x00ffffff-no-rj</v>
      </c>
      <c r="AL223" s="81">
        <v>0</v>
      </c>
      <c r="AM223" s="81">
        <v>0</v>
      </c>
      <c r="AN223" s="81">
        <v>14</v>
      </c>
      <c r="AO223" s="81" t="b">
        <v>0</v>
      </c>
      <c r="AP223" s="81">
        <v>0</v>
      </c>
      <c r="AQ223" s="81"/>
      <c r="AR223" s="81"/>
      <c r="AS223" s="81" t="s">
        <v>3378</v>
      </c>
      <c r="AT223" s="86" t="str">
        <f>HYPERLINK("https://www.youtube.com/channel/UCgaF6bm2pAi1j44jwXvrXMQ")</f>
        <v>https://www.youtube.com/channel/UCgaF6bm2pAi1j44jwXvrXMQ</v>
      </c>
      <c r="AU223" s="81" t="str">
        <f>REPLACE(INDEX(GroupVertices[Group],MATCH("~"&amp;Vertices[[#This Row],[Vertex]],GroupVertices[Vertex],0)),1,1,"")</f>
        <v>4</v>
      </c>
      <c r="AV223" s="49"/>
      <c r="AW223" s="49"/>
      <c r="AX223" s="49"/>
      <c r="AY223" s="49"/>
      <c r="AZ223" s="49"/>
      <c r="BA223" s="49"/>
      <c r="BB223" s="117" t="s">
        <v>3877</v>
      </c>
      <c r="BC223" s="117" t="s">
        <v>3877</v>
      </c>
      <c r="BD223" s="117" t="s">
        <v>4575</v>
      </c>
      <c r="BE223" s="117" t="s">
        <v>4575</v>
      </c>
      <c r="BF223" s="2"/>
      <c r="BG223" s="3"/>
      <c r="BH223" s="3"/>
      <c r="BI223" s="3"/>
      <c r="BJ223" s="3"/>
    </row>
    <row r="224" spans="1:62" ht="15">
      <c r="A224" s="66" t="s">
        <v>406</v>
      </c>
      <c r="B224" s="67"/>
      <c r="C224" s="67"/>
      <c r="D224" s="68">
        <v>50</v>
      </c>
      <c r="E224" s="70"/>
      <c r="F224" s="105" t="str">
        <f>HYPERLINK("https://yt3.ggpht.com/ytc/AIf8zZQYMxfwVKqjF5a_mVwTVrOyunW2zuwcoGjQbFZJ5EY=s88-c-k-c0x00ffffff-no-rj")</f>
        <v>https://yt3.ggpht.com/ytc/AIf8zZQYMxfwVKqjF5a_mVwTVrOyunW2zuwcoGjQbFZJ5EY=s88-c-k-c0x00ffffff-no-rj</v>
      </c>
      <c r="G224" s="67"/>
      <c r="H224" s="71" t="s">
        <v>2636</v>
      </c>
      <c r="I224" s="72"/>
      <c r="J224" s="72" t="s">
        <v>159</v>
      </c>
      <c r="K224" s="71" t="s">
        <v>2636</v>
      </c>
      <c r="L224" s="75">
        <v>1</v>
      </c>
      <c r="M224" s="76">
        <v>9326.3662109375</v>
      </c>
      <c r="N224" s="76">
        <v>9423.6845703125</v>
      </c>
      <c r="O224" s="77"/>
      <c r="P224" s="78"/>
      <c r="Q224" s="78"/>
      <c r="R224" s="90"/>
      <c r="S224" s="49">
        <v>0</v>
      </c>
      <c r="T224" s="49">
        <v>1</v>
      </c>
      <c r="U224" s="50">
        <v>0</v>
      </c>
      <c r="V224" s="50">
        <v>0.220844</v>
      </c>
      <c r="W224" s="51"/>
      <c r="X224" s="51"/>
      <c r="Y224" s="51"/>
      <c r="Z224" s="50"/>
      <c r="AA224" s="73">
        <v>224</v>
      </c>
      <c r="AB224" s="73"/>
      <c r="AC224" s="74"/>
      <c r="AD224" s="81" t="s">
        <v>2636</v>
      </c>
      <c r="AE224" s="81"/>
      <c r="AF224" s="81"/>
      <c r="AG224" s="81"/>
      <c r="AH224" s="81"/>
      <c r="AI224" s="81" t="s">
        <v>1872</v>
      </c>
      <c r="AJ224" s="88">
        <v>40110.37520833333</v>
      </c>
      <c r="AK224" s="86" t="str">
        <f>HYPERLINK("https://yt3.ggpht.com/ytc/AIf8zZQYMxfwVKqjF5a_mVwTVrOyunW2zuwcoGjQbFZJ5EY=s88-c-k-c0x00ffffff-no-rj")</f>
        <v>https://yt3.ggpht.com/ytc/AIf8zZQYMxfwVKqjF5a_mVwTVrOyunW2zuwcoGjQbFZJ5EY=s88-c-k-c0x00ffffff-no-rj</v>
      </c>
      <c r="AL224" s="81">
        <v>0</v>
      </c>
      <c r="AM224" s="81">
        <v>0</v>
      </c>
      <c r="AN224" s="81">
        <v>1</v>
      </c>
      <c r="AO224" s="81" t="b">
        <v>0</v>
      </c>
      <c r="AP224" s="81">
        <v>0</v>
      </c>
      <c r="AQ224" s="81"/>
      <c r="AR224" s="81"/>
      <c r="AS224" s="81" t="s">
        <v>3378</v>
      </c>
      <c r="AT224" s="86" t="str">
        <f>HYPERLINK("https://www.youtube.com/channel/UC_rXV3aoif5qiDC5VzFjINQ")</f>
        <v>https://www.youtube.com/channel/UC_rXV3aoif5qiDC5VzFjINQ</v>
      </c>
      <c r="AU224" s="81" t="str">
        <f>REPLACE(INDEX(GroupVertices[Group],MATCH("~"&amp;Vertices[[#This Row],[Vertex]],GroupVertices[Vertex],0)),1,1,"")</f>
        <v>4</v>
      </c>
      <c r="AV224" s="49"/>
      <c r="AW224" s="49"/>
      <c r="AX224" s="49"/>
      <c r="AY224" s="49"/>
      <c r="AZ224" s="49"/>
      <c r="BA224" s="49"/>
      <c r="BB224" s="117" t="s">
        <v>3878</v>
      </c>
      <c r="BC224" s="117" t="s">
        <v>3878</v>
      </c>
      <c r="BD224" s="117" t="s">
        <v>4576</v>
      </c>
      <c r="BE224" s="117" t="s">
        <v>4576</v>
      </c>
      <c r="BF224" s="2"/>
      <c r="BG224" s="3"/>
      <c r="BH224" s="3"/>
      <c r="BI224" s="3"/>
      <c r="BJ224" s="3"/>
    </row>
    <row r="225" spans="1:62" ht="15">
      <c r="A225" s="66" t="s">
        <v>407</v>
      </c>
      <c r="B225" s="67"/>
      <c r="C225" s="67"/>
      <c r="D225" s="68">
        <v>50</v>
      </c>
      <c r="E225" s="70"/>
      <c r="F225" s="105" t="str">
        <f>HYPERLINK("https://yt3.ggpht.com/ytc/AIf8zZT-nB0RShISoM9uSOUE8d5vBgxW0oOdE1GSPA=s88-c-k-c0x00ffffff-no-rj")</f>
        <v>https://yt3.ggpht.com/ytc/AIf8zZT-nB0RShISoM9uSOUE8d5vBgxW0oOdE1GSPA=s88-c-k-c0x00ffffff-no-rj</v>
      </c>
      <c r="G225" s="67"/>
      <c r="H225" s="71" t="s">
        <v>2637</v>
      </c>
      <c r="I225" s="72"/>
      <c r="J225" s="72" t="s">
        <v>159</v>
      </c>
      <c r="K225" s="71" t="s">
        <v>2637</v>
      </c>
      <c r="L225" s="75">
        <v>1</v>
      </c>
      <c r="M225" s="76">
        <v>9502.7021484375</v>
      </c>
      <c r="N225" s="76">
        <v>7071.9091796875</v>
      </c>
      <c r="O225" s="77"/>
      <c r="P225" s="78"/>
      <c r="Q225" s="78"/>
      <c r="R225" s="90"/>
      <c r="S225" s="49">
        <v>0</v>
      </c>
      <c r="T225" s="49">
        <v>1</v>
      </c>
      <c r="U225" s="50">
        <v>0</v>
      </c>
      <c r="V225" s="50">
        <v>0.220844</v>
      </c>
      <c r="W225" s="51"/>
      <c r="X225" s="51"/>
      <c r="Y225" s="51"/>
      <c r="Z225" s="50"/>
      <c r="AA225" s="73">
        <v>225</v>
      </c>
      <c r="AB225" s="73"/>
      <c r="AC225" s="74"/>
      <c r="AD225" s="81" t="s">
        <v>2637</v>
      </c>
      <c r="AE225" s="81"/>
      <c r="AF225" s="81"/>
      <c r="AG225" s="81"/>
      <c r="AH225" s="81"/>
      <c r="AI225" s="81" t="s">
        <v>1873</v>
      </c>
      <c r="AJ225" s="88">
        <v>43951.11336805556</v>
      </c>
      <c r="AK225" s="86" t="str">
        <f>HYPERLINK("https://yt3.ggpht.com/ytc/AIf8zZT-nB0RShISoM9uSOUE8d5vBgxW0oOdE1GSPA=s88-c-k-c0x00ffffff-no-rj")</f>
        <v>https://yt3.ggpht.com/ytc/AIf8zZT-nB0RShISoM9uSOUE8d5vBgxW0oOdE1GSPA=s88-c-k-c0x00ffffff-no-rj</v>
      </c>
      <c r="AL225" s="81">
        <v>0</v>
      </c>
      <c r="AM225" s="81">
        <v>0</v>
      </c>
      <c r="AN225" s="81">
        <v>0</v>
      </c>
      <c r="AO225" s="81" t="b">
        <v>0</v>
      </c>
      <c r="AP225" s="81">
        <v>0</v>
      </c>
      <c r="AQ225" s="81"/>
      <c r="AR225" s="81"/>
      <c r="AS225" s="81" t="s">
        <v>3378</v>
      </c>
      <c r="AT225" s="86" t="str">
        <f>HYPERLINK("https://www.youtube.com/channel/UCe6YYGnAeOL0sII2mcyMy_A")</f>
        <v>https://www.youtube.com/channel/UCe6YYGnAeOL0sII2mcyMy_A</v>
      </c>
      <c r="AU225" s="81" t="str">
        <f>REPLACE(INDEX(GroupVertices[Group],MATCH("~"&amp;Vertices[[#This Row],[Vertex]],GroupVertices[Vertex],0)),1,1,"")</f>
        <v>4</v>
      </c>
      <c r="AV225" s="49"/>
      <c r="AW225" s="49"/>
      <c r="AX225" s="49"/>
      <c r="AY225" s="49"/>
      <c r="AZ225" s="49"/>
      <c r="BA225" s="49"/>
      <c r="BB225" s="117" t="s">
        <v>3879</v>
      </c>
      <c r="BC225" s="117" t="s">
        <v>3879</v>
      </c>
      <c r="BD225" s="117" t="s">
        <v>4577</v>
      </c>
      <c r="BE225" s="117" t="s">
        <v>4577</v>
      </c>
      <c r="BF225" s="2"/>
      <c r="BG225" s="3"/>
      <c r="BH225" s="3"/>
      <c r="BI225" s="3"/>
      <c r="BJ225" s="3"/>
    </row>
    <row r="226" spans="1:62" ht="15">
      <c r="A226" s="66" t="s">
        <v>408</v>
      </c>
      <c r="B226" s="67"/>
      <c r="C226" s="67"/>
      <c r="D226" s="68">
        <v>50</v>
      </c>
      <c r="E226" s="70"/>
      <c r="F226" s="105" t="str">
        <f>HYPERLINK("https://yt3.ggpht.com/ytc/AIf8zZT96ef63e7MY1LBIdYrVtPLmdRfyf5wIpdqdo7jJw=s88-c-k-c0x00ffffff-no-rj")</f>
        <v>https://yt3.ggpht.com/ytc/AIf8zZT96ef63e7MY1LBIdYrVtPLmdRfyf5wIpdqdo7jJw=s88-c-k-c0x00ffffff-no-rj</v>
      </c>
      <c r="G226" s="67"/>
      <c r="H226" s="71" t="s">
        <v>2638</v>
      </c>
      <c r="I226" s="72"/>
      <c r="J226" s="72" t="s">
        <v>159</v>
      </c>
      <c r="K226" s="71" t="s">
        <v>2638</v>
      </c>
      <c r="L226" s="75">
        <v>1</v>
      </c>
      <c r="M226" s="76">
        <v>7145.92529296875</v>
      </c>
      <c r="N226" s="76">
        <v>6849.85546875</v>
      </c>
      <c r="O226" s="77"/>
      <c r="P226" s="78"/>
      <c r="Q226" s="78"/>
      <c r="R226" s="90"/>
      <c r="S226" s="49">
        <v>0</v>
      </c>
      <c r="T226" s="49">
        <v>1</v>
      </c>
      <c r="U226" s="50">
        <v>0</v>
      </c>
      <c r="V226" s="50">
        <v>0.220844</v>
      </c>
      <c r="W226" s="51"/>
      <c r="X226" s="51"/>
      <c r="Y226" s="51"/>
      <c r="Z226" s="50"/>
      <c r="AA226" s="73">
        <v>226</v>
      </c>
      <c r="AB226" s="73"/>
      <c r="AC226" s="74"/>
      <c r="AD226" s="81" t="s">
        <v>2638</v>
      </c>
      <c r="AE226" s="81"/>
      <c r="AF226" s="81"/>
      <c r="AG226" s="81"/>
      <c r="AH226" s="81"/>
      <c r="AI226" s="81" t="s">
        <v>3273</v>
      </c>
      <c r="AJ226" s="88">
        <v>40677.013287037036</v>
      </c>
      <c r="AK226" s="86" t="str">
        <f>HYPERLINK("https://yt3.ggpht.com/ytc/AIf8zZT96ef63e7MY1LBIdYrVtPLmdRfyf5wIpdqdo7jJw=s88-c-k-c0x00ffffff-no-rj")</f>
        <v>https://yt3.ggpht.com/ytc/AIf8zZT96ef63e7MY1LBIdYrVtPLmdRfyf5wIpdqdo7jJw=s88-c-k-c0x00ffffff-no-rj</v>
      </c>
      <c r="AL226" s="81">
        <v>28363</v>
      </c>
      <c r="AM226" s="81">
        <v>0</v>
      </c>
      <c r="AN226" s="81">
        <v>5</v>
      </c>
      <c r="AO226" s="81" t="b">
        <v>0</v>
      </c>
      <c r="AP226" s="81">
        <v>41</v>
      </c>
      <c r="AQ226" s="81"/>
      <c r="AR226" s="81"/>
      <c r="AS226" s="81" t="s">
        <v>3378</v>
      </c>
      <c r="AT226" s="86" t="str">
        <f>HYPERLINK("https://www.youtube.com/channel/UCJsL_3n8QFAkX6y9uu7PN5Q")</f>
        <v>https://www.youtube.com/channel/UCJsL_3n8QFAkX6y9uu7PN5Q</v>
      </c>
      <c r="AU226" s="81" t="str">
        <f>REPLACE(INDEX(GroupVertices[Group],MATCH("~"&amp;Vertices[[#This Row],[Vertex]],GroupVertices[Vertex],0)),1,1,"")</f>
        <v>4</v>
      </c>
      <c r="AV226" s="49"/>
      <c r="AW226" s="49"/>
      <c r="AX226" s="49"/>
      <c r="AY226" s="49"/>
      <c r="AZ226" s="49"/>
      <c r="BA226" s="49"/>
      <c r="BB226" s="117" t="s">
        <v>3880</v>
      </c>
      <c r="BC226" s="117" t="s">
        <v>3880</v>
      </c>
      <c r="BD226" s="117" t="s">
        <v>4578</v>
      </c>
      <c r="BE226" s="117" t="s">
        <v>4578</v>
      </c>
      <c r="BF226" s="2"/>
      <c r="BG226" s="3"/>
      <c r="BH226" s="3"/>
      <c r="BI226" s="3"/>
      <c r="BJ226" s="3"/>
    </row>
    <row r="227" spans="1:62" ht="15">
      <c r="A227" s="66" t="s">
        <v>409</v>
      </c>
      <c r="B227" s="67"/>
      <c r="C227" s="67"/>
      <c r="D227" s="68">
        <v>50</v>
      </c>
      <c r="E227" s="70"/>
      <c r="F227" s="105" t="str">
        <f>HYPERLINK("https://yt3.ggpht.com/hgcw5UKD8cqYhcIOI-ft-ZP3J5gSxxbZiqYy6O_isyZIpjkY-8pmrlaGazj6vd6J52Vh6EDZ1Q=s88-c-k-c0x00ffffff-no-rj")</f>
        <v>https://yt3.ggpht.com/hgcw5UKD8cqYhcIOI-ft-ZP3J5gSxxbZiqYy6O_isyZIpjkY-8pmrlaGazj6vd6J52Vh6EDZ1Q=s88-c-k-c0x00ffffff-no-rj</v>
      </c>
      <c r="G227" s="67"/>
      <c r="H227" s="71" t="s">
        <v>2639</v>
      </c>
      <c r="I227" s="72"/>
      <c r="J227" s="72" t="s">
        <v>159</v>
      </c>
      <c r="K227" s="71" t="s">
        <v>2639</v>
      </c>
      <c r="L227" s="75">
        <v>1</v>
      </c>
      <c r="M227" s="76">
        <v>8502.734375</v>
      </c>
      <c r="N227" s="76">
        <v>6088.47412109375</v>
      </c>
      <c r="O227" s="77"/>
      <c r="P227" s="78"/>
      <c r="Q227" s="78"/>
      <c r="R227" s="90"/>
      <c r="S227" s="49">
        <v>0</v>
      </c>
      <c r="T227" s="49">
        <v>1</v>
      </c>
      <c r="U227" s="50">
        <v>0</v>
      </c>
      <c r="V227" s="50">
        <v>0.220844</v>
      </c>
      <c r="W227" s="51"/>
      <c r="X227" s="51"/>
      <c r="Y227" s="51"/>
      <c r="Z227" s="50"/>
      <c r="AA227" s="73">
        <v>227</v>
      </c>
      <c r="AB227" s="73"/>
      <c r="AC227" s="74"/>
      <c r="AD227" s="81" t="s">
        <v>2639</v>
      </c>
      <c r="AE227" s="81"/>
      <c r="AF227" s="81"/>
      <c r="AG227" s="81"/>
      <c r="AH227" s="81"/>
      <c r="AI227" s="81" t="s">
        <v>1875</v>
      </c>
      <c r="AJ227" s="88">
        <v>42675.78827546296</v>
      </c>
      <c r="AK227" s="86" t="str">
        <f>HYPERLINK("https://yt3.ggpht.com/hgcw5UKD8cqYhcIOI-ft-ZP3J5gSxxbZiqYy6O_isyZIpjkY-8pmrlaGazj6vd6J52Vh6EDZ1Q=s88-c-k-c0x00ffffff-no-rj")</f>
        <v>https://yt3.ggpht.com/hgcw5UKD8cqYhcIOI-ft-ZP3J5gSxxbZiqYy6O_isyZIpjkY-8pmrlaGazj6vd6J52Vh6EDZ1Q=s88-c-k-c0x00ffffff-no-rj</v>
      </c>
      <c r="AL227" s="81">
        <v>639</v>
      </c>
      <c r="AM227" s="81">
        <v>0</v>
      </c>
      <c r="AN227" s="81">
        <v>1</v>
      </c>
      <c r="AO227" s="81" t="b">
        <v>0</v>
      </c>
      <c r="AP227" s="81">
        <v>15</v>
      </c>
      <c r="AQ227" s="81"/>
      <c r="AR227" s="81"/>
      <c r="AS227" s="81" t="s">
        <v>3378</v>
      </c>
      <c r="AT227" s="86" t="str">
        <f>HYPERLINK("https://www.youtube.com/channel/UCYW_oDPEPUXjRuBcVITu0GQ")</f>
        <v>https://www.youtube.com/channel/UCYW_oDPEPUXjRuBcVITu0GQ</v>
      </c>
      <c r="AU227" s="81" t="str">
        <f>REPLACE(INDEX(GroupVertices[Group],MATCH("~"&amp;Vertices[[#This Row],[Vertex]],GroupVertices[Vertex],0)),1,1,"")</f>
        <v>4</v>
      </c>
      <c r="AV227" s="49"/>
      <c r="AW227" s="49"/>
      <c r="AX227" s="49"/>
      <c r="AY227" s="49"/>
      <c r="AZ227" s="49"/>
      <c r="BA227" s="49"/>
      <c r="BB227" s="117" t="s">
        <v>3881</v>
      </c>
      <c r="BC227" s="117" t="s">
        <v>3881</v>
      </c>
      <c r="BD227" s="117" t="s">
        <v>4579</v>
      </c>
      <c r="BE227" s="117" t="s">
        <v>4579</v>
      </c>
      <c r="BF227" s="2"/>
      <c r="BG227" s="3"/>
      <c r="BH227" s="3"/>
      <c r="BI227" s="3"/>
      <c r="BJ227" s="3"/>
    </row>
    <row r="228" spans="1:62" ht="15">
      <c r="A228" s="66" t="s">
        <v>410</v>
      </c>
      <c r="B228" s="67"/>
      <c r="C228" s="67"/>
      <c r="D228" s="68">
        <v>50</v>
      </c>
      <c r="E228" s="70"/>
      <c r="F228" s="105" t="str">
        <f>HYPERLINK("https://yt3.ggpht.com/ytc/AIf8zZTtuHQiqc3EdT6IS2jbT7F93WziFj6UrZq5ZYzrECA=s88-c-k-c0x00ffffff-no-rj")</f>
        <v>https://yt3.ggpht.com/ytc/AIf8zZTtuHQiqc3EdT6IS2jbT7F93WziFj6UrZq5ZYzrECA=s88-c-k-c0x00ffffff-no-rj</v>
      </c>
      <c r="G228" s="67"/>
      <c r="H228" s="71" t="s">
        <v>2640</v>
      </c>
      <c r="I228" s="72"/>
      <c r="J228" s="72" t="s">
        <v>159</v>
      </c>
      <c r="K228" s="71" t="s">
        <v>2640</v>
      </c>
      <c r="L228" s="75">
        <v>1</v>
      </c>
      <c r="M228" s="76">
        <v>7979.90087890625</v>
      </c>
      <c r="N228" s="76">
        <v>6708.744140625</v>
      </c>
      <c r="O228" s="77"/>
      <c r="P228" s="78"/>
      <c r="Q228" s="78"/>
      <c r="R228" s="90"/>
      <c r="S228" s="49">
        <v>0</v>
      </c>
      <c r="T228" s="49">
        <v>1</v>
      </c>
      <c r="U228" s="50">
        <v>0</v>
      </c>
      <c r="V228" s="50">
        <v>0.220844</v>
      </c>
      <c r="W228" s="51"/>
      <c r="X228" s="51"/>
      <c r="Y228" s="51"/>
      <c r="Z228" s="50"/>
      <c r="AA228" s="73">
        <v>228</v>
      </c>
      <c r="AB228" s="73"/>
      <c r="AC228" s="74"/>
      <c r="AD228" s="81" t="s">
        <v>2640</v>
      </c>
      <c r="AE228" s="81"/>
      <c r="AF228" s="81"/>
      <c r="AG228" s="81"/>
      <c r="AH228" s="81"/>
      <c r="AI228" s="81" t="s">
        <v>1876</v>
      </c>
      <c r="AJ228" s="88">
        <v>42782.42685185185</v>
      </c>
      <c r="AK228" s="86" t="str">
        <f>HYPERLINK("https://yt3.ggpht.com/ytc/AIf8zZTtuHQiqc3EdT6IS2jbT7F93WziFj6UrZq5ZYzrECA=s88-c-k-c0x00ffffff-no-rj")</f>
        <v>https://yt3.ggpht.com/ytc/AIf8zZTtuHQiqc3EdT6IS2jbT7F93WziFj6UrZq5ZYzrECA=s88-c-k-c0x00ffffff-no-rj</v>
      </c>
      <c r="AL228" s="81">
        <v>0</v>
      </c>
      <c r="AM228" s="81">
        <v>0</v>
      </c>
      <c r="AN228" s="81">
        <v>12</v>
      </c>
      <c r="AO228" s="81" t="b">
        <v>0</v>
      </c>
      <c r="AP228" s="81">
        <v>0</v>
      </c>
      <c r="AQ228" s="81"/>
      <c r="AR228" s="81"/>
      <c r="AS228" s="81" t="s">
        <v>3378</v>
      </c>
      <c r="AT228" s="86" t="str">
        <f>HYPERLINK("https://www.youtube.com/channel/UCRNVgDOhMueAD2i9no4xweA")</f>
        <v>https://www.youtube.com/channel/UCRNVgDOhMueAD2i9no4xweA</v>
      </c>
      <c r="AU228" s="81" t="str">
        <f>REPLACE(INDEX(GroupVertices[Group],MATCH("~"&amp;Vertices[[#This Row],[Vertex]],GroupVertices[Vertex],0)),1,1,"")</f>
        <v>4</v>
      </c>
      <c r="AV228" s="49"/>
      <c r="AW228" s="49"/>
      <c r="AX228" s="49"/>
      <c r="AY228" s="49"/>
      <c r="AZ228" s="49"/>
      <c r="BA228" s="49"/>
      <c r="BB228" s="117" t="s">
        <v>3882</v>
      </c>
      <c r="BC228" s="117" t="s">
        <v>3882</v>
      </c>
      <c r="BD228" s="117" t="s">
        <v>4580</v>
      </c>
      <c r="BE228" s="117" t="s">
        <v>4580</v>
      </c>
      <c r="BF228" s="2"/>
      <c r="BG228" s="3"/>
      <c r="BH228" s="3"/>
      <c r="BI228" s="3"/>
      <c r="BJ228" s="3"/>
    </row>
    <row r="229" spans="1:62" ht="15">
      <c r="A229" s="66" t="s">
        <v>411</v>
      </c>
      <c r="B229" s="67"/>
      <c r="C229" s="67"/>
      <c r="D229" s="68">
        <v>50</v>
      </c>
      <c r="E229" s="70"/>
      <c r="F229" s="105" t="str">
        <f>HYPERLINK("https://yt3.ggpht.com/ytc/AIf8zZQHcx1XjUZh9eR4WWhoL4M56eRObFuBRXgVxg=s88-c-k-c0x00ffffff-no-rj")</f>
        <v>https://yt3.ggpht.com/ytc/AIf8zZQHcx1XjUZh9eR4WWhoL4M56eRObFuBRXgVxg=s88-c-k-c0x00ffffff-no-rj</v>
      </c>
      <c r="G229" s="67"/>
      <c r="H229" s="71" t="s">
        <v>2641</v>
      </c>
      <c r="I229" s="72"/>
      <c r="J229" s="72" t="s">
        <v>159</v>
      </c>
      <c r="K229" s="71" t="s">
        <v>2641</v>
      </c>
      <c r="L229" s="75">
        <v>1</v>
      </c>
      <c r="M229" s="76">
        <v>9756.2451171875</v>
      </c>
      <c r="N229" s="76">
        <v>8684.423828125</v>
      </c>
      <c r="O229" s="77"/>
      <c r="P229" s="78"/>
      <c r="Q229" s="78"/>
      <c r="R229" s="90"/>
      <c r="S229" s="49">
        <v>0</v>
      </c>
      <c r="T229" s="49">
        <v>1</v>
      </c>
      <c r="U229" s="50">
        <v>0</v>
      </c>
      <c r="V229" s="50">
        <v>0.220844</v>
      </c>
      <c r="W229" s="51"/>
      <c r="X229" s="51"/>
      <c r="Y229" s="51"/>
      <c r="Z229" s="50"/>
      <c r="AA229" s="73">
        <v>229</v>
      </c>
      <c r="AB229" s="73"/>
      <c r="AC229" s="74"/>
      <c r="AD229" s="81" t="s">
        <v>2641</v>
      </c>
      <c r="AE229" s="81"/>
      <c r="AF229" s="81"/>
      <c r="AG229" s="81"/>
      <c r="AH229" s="81"/>
      <c r="AI229" s="81" t="s">
        <v>1877</v>
      </c>
      <c r="AJ229" s="88">
        <v>43205.74763888889</v>
      </c>
      <c r="AK229" s="86" t="str">
        <f>HYPERLINK("https://yt3.ggpht.com/ytc/AIf8zZQHcx1XjUZh9eR4WWhoL4M56eRObFuBRXgVxg=s88-c-k-c0x00ffffff-no-rj")</f>
        <v>https://yt3.ggpht.com/ytc/AIf8zZQHcx1XjUZh9eR4WWhoL4M56eRObFuBRXgVxg=s88-c-k-c0x00ffffff-no-rj</v>
      </c>
      <c r="AL229" s="81">
        <v>0</v>
      </c>
      <c r="AM229" s="81">
        <v>0</v>
      </c>
      <c r="AN229" s="81">
        <v>1</v>
      </c>
      <c r="AO229" s="81" t="b">
        <v>0</v>
      </c>
      <c r="AP229" s="81">
        <v>0</v>
      </c>
      <c r="AQ229" s="81"/>
      <c r="AR229" s="81"/>
      <c r="AS229" s="81" t="s">
        <v>3378</v>
      </c>
      <c r="AT229" s="86" t="str">
        <f>HYPERLINK("https://www.youtube.com/channel/UCa3zsGZ41DR7O7qa_N1jMiA")</f>
        <v>https://www.youtube.com/channel/UCa3zsGZ41DR7O7qa_N1jMiA</v>
      </c>
      <c r="AU229" s="81" t="str">
        <f>REPLACE(INDEX(GroupVertices[Group],MATCH("~"&amp;Vertices[[#This Row],[Vertex]],GroupVertices[Vertex],0)),1,1,"")</f>
        <v>4</v>
      </c>
      <c r="AV229" s="49"/>
      <c r="AW229" s="49"/>
      <c r="AX229" s="49"/>
      <c r="AY229" s="49"/>
      <c r="AZ229" s="49"/>
      <c r="BA229" s="49"/>
      <c r="BB229" s="117" t="s">
        <v>3883</v>
      </c>
      <c r="BC229" s="117" t="s">
        <v>3883</v>
      </c>
      <c r="BD229" s="117" t="s">
        <v>4581</v>
      </c>
      <c r="BE229" s="117" t="s">
        <v>4581</v>
      </c>
      <c r="BF229" s="2"/>
      <c r="BG229" s="3"/>
      <c r="BH229" s="3"/>
      <c r="BI229" s="3"/>
      <c r="BJ229" s="3"/>
    </row>
    <row r="230" spans="1:62" ht="15">
      <c r="A230" s="66" t="s">
        <v>412</v>
      </c>
      <c r="B230" s="67"/>
      <c r="C230" s="67"/>
      <c r="D230" s="68">
        <v>50</v>
      </c>
      <c r="E230" s="70"/>
      <c r="F230" s="105" t="str">
        <f>HYPERLINK("https://yt3.ggpht.com/ytc/AIf8zZR2JVnzgckj2oViSSE5biwsY3atbY3n4tfQ-WQ1=s88-c-k-c0x00ffffff-no-rj")</f>
        <v>https://yt3.ggpht.com/ytc/AIf8zZR2JVnzgckj2oViSSE5biwsY3atbY3n4tfQ-WQ1=s88-c-k-c0x00ffffff-no-rj</v>
      </c>
      <c r="G230" s="67"/>
      <c r="H230" s="71" t="s">
        <v>2642</v>
      </c>
      <c r="I230" s="72"/>
      <c r="J230" s="72" t="s">
        <v>159</v>
      </c>
      <c r="K230" s="71" t="s">
        <v>2642</v>
      </c>
      <c r="L230" s="75">
        <v>1</v>
      </c>
      <c r="M230" s="76">
        <v>9087.3525390625</v>
      </c>
      <c r="N230" s="76">
        <v>6436.05322265625</v>
      </c>
      <c r="O230" s="77"/>
      <c r="P230" s="78"/>
      <c r="Q230" s="78"/>
      <c r="R230" s="90"/>
      <c r="S230" s="49">
        <v>0</v>
      </c>
      <c r="T230" s="49">
        <v>1</v>
      </c>
      <c r="U230" s="50">
        <v>0</v>
      </c>
      <c r="V230" s="50">
        <v>0.220844</v>
      </c>
      <c r="W230" s="51"/>
      <c r="X230" s="51"/>
      <c r="Y230" s="51"/>
      <c r="Z230" s="50"/>
      <c r="AA230" s="73">
        <v>230</v>
      </c>
      <c r="AB230" s="73"/>
      <c r="AC230" s="74"/>
      <c r="AD230" s="81" t="s">
        <v>2642</v>
      </c>
      <c r="AE230" s="81" t="s">
        <v>3161</v>
      </c>
      <c r="AF230" s="81"/>
      <c r="AG230" s="81"/>
      <c r="AH230" s="81"/>
      <c r="AI230" s="81" t="s">
        <v>3274</v>
      </c>
      <c r="AJ230" s="88">
        <v>40292.72493055555</v>
      </c>
      <c r="AK230" s="86" t="str">
        <f>HYPERLINK("https://yt3.ggpht.com/ytc/AIf8zZR2JVnzgckj2oViSSE5biwsY3atbY3n4tfQ-WQ1=s88-c-k-c0x00ffffff-no-rj")</f>
        <v>https://yt3.ggpht.com/ytc/AIf8zZR2JVnzgckj2oViSSE5biwsY3atbY3n4tfQ-WQ1=s88-c-k-c0x00ffffff-no-rj</v>
      </c>
      <c r="AL230" s="81">
        <v>39917</v>
      </c>
      <c r="AM230" s="81">
        <v>0</v>
      </c>
      <c r="AN230" s="81">
        <v>82</v>
      </c>
      <c r="AO230" s="81" t="b">
        <v>0</v>
      </c>
      <c r="AP230" s="81">
        <v>465</v>
      </c>
      <c r="AQ230" s="81"/>
      <c r="AR230" s="81"/>
      <c r="AS230" s="81" t="s">
        <v>3378</v>
      </c>
      <c r="AT230" s="86" t="str">
        <f>HYPERLINK("https://www.youtube.com/channel/UCCrYiy7pTlMUN97K7vnmz7g")</f>
        <v>https://www.youtube.com/channel/UCCrYiy7pTlMUN97K7vnmz7g</v>
      </c>
      <c r="AU230" s="81" t="str">
        <f>REPLACE(INDEX(GroupVertices[Group],MATCH("~"&amp;Vertices[[#This Row],[Vertex]],GroupVertices[Vertex],0)),1,1,"")</f>
        <v>4</v>
      </c>
      <c r="AV230" s="49"/>
      <c r="AW230" s="49"/>
      <c r="AX230" s="49"/>
      <c r="AY230" s="49"/>
      <c r="AZ230" s="49"/>
      <c r="BA230" s="49"/>
      <c r="BB230" s="117" t="s">
        <v>3884</v>
      </c>
      <c r="BC230" s="117" t="s">
        <v>3884</v>
      </c>
      <c r="BD230" s="117" t="s">
        <v>4582</v>
      </c>
      <c r="BE230" s="117" t="s">
        <v>4582</v>
      </c>
      <c r="BF230" s="2"/>
      <c r="BG230" s="3"/>
      <c r="BH230" s="3"/>
      <c r="BI230" s="3"/>
      <c r="BJ230" s="3"/>
    </row>
    <row r="231" spans="1:62" ht="15">
      <c r="A231" s="66" t="s">
        <v>413</v>
      </c>
      <c r="B231" s="67"/>
      <c r="C231" s="67"/>
      <c r="D231" s="68">
        <v>50</v>
      </c>
      <c r="E231" s="70"/>
      <c r="F231" s="105" t="str">
        <f>HYPERLINK("https://yt3.ggpht.com/ytc/AIf8zZSW2jdlzw8aEJ6suUd9Y5h6om8Ioq_NvKQV2w=s88-c-k-c0x00ffffff-no-rj")</f>
        <v>https://yt3.ggpht.com/ytc/AIf8zZSW2jdlzw8aEJ6suUd9Y5h6om8Ioq_NvKQV2w=s88-c-k-c0x00ffffff-no-rj</v>
      </c>
      <c r="G231" s="67"/>
      <c r="H231" s="71" t="s">
        <v>2643</v>
      </c>
      <c r="I231" s="72"/>
      <c r="J231" s="72" t="s">
        <v>159</v>
      </c>
      <c r="K231" s="71" t="s">
        <v>2643</v>
      </c>
      <c r="L231" s="75">
        <v>1</v>
      </c>
      <c r="M231" s="76">
        <v>9651.6181640625</v>
      </c>
      <c r="N231" s="76">
        <v>6697.876953125</v>
      </c>
      <c r="O231" s="77"/>
      <c r="P231" s="78"/>
      <c r="Q231" s="78"/>
      <c r="R231" s="90"/>
      <c r="S231" s="49">
        <v>0</v>
      </c>
      <c r="T231" s="49">
        <v>1</v>
      </c>
      <c r="U231" s="50">
        <v>0</v>
      </c>
      <c r="V231" s="50">
        <v>0.220844</v>
      </c>
      <c r="W231" s="51"/>
      <c r="X231" s="51"/>
      <c r="Y231" s="51"/>
      <c r="Z231" s="50"/>
      <c r="AA231" s="73">
        <v>231</v>
      </c>
      <c r="AB231" s="73"/>
      <c r="AC231" s="74"/>
      <c r="AD231" s="81" t="s">
        <v>2643</v>
      </c>
      <c r="AE231" s="81"/>
      <c r="AF231" s="81"/>
      <c r="AG231" s="81"/>
      <c r="AH231" s="81"/>
      <c r="AI231" s="81" t="s">
        <v>1879</v>
      </c>
      <c r="AJ231" s="88">
        <v>42981.017604166664</v>
      </c>
      <c r="AK231" s="86" t="str">
        <f>HYPERLINK("https://yt3.ggpht.com/ytc/AIf8zZSW2jdlzw8aEJ6suUd9Y5h6om8Ioq_NvKQV2w=s88-c-k-c0x00ffffff-no-rj")</f>
        <v>https://yt3.ggpht.com/ytc/AIf8zZSW2jdlzw8aEJ6suUd9Y5h6om8Ioq_NvKQV2w=s88-c-k-c0x00ffffff-no-rj</v>
      </c>
      <c r="AL231" s="81">
        <v>0</v>
      </c>
      <c r="AM231" s="81">
        <v>0</v>
      </c>
      <c r="AN231" s="81">
        <v>0</v>
      </c>
      <c r="AO231" s="81" t="b">
        <v>0</v>
      </c>
      <c r="AP231" s="81">
        <v>0</v>
      </c>
      <c r="AQ231" s="81"/>
      <c r="AR231" s="81"/>
      <c r="AS231" s="81" t="s">
        <v>3378</v>
      </c>
      <c r="AT231" s="86" t="str">
        <f>HYPERLINK("https://www.youtube.com/channel/UCw-bBmVgiyfdrtvOnpd9sSA")</f>
        <v>https://www.youtube.com/channel/UCw-bBmVgiyfdrtvOnpd9sSA</v>
      </c>
      <c r="AU231" s="81" t="str">
        <f>REPLACE(INDEX(GroupVertices[Group],MATCH("~"&amp;Vertices[[#This Row],[Vertex]],GroupVertices[Vertex],0)),1,1,"")</f>
        <v>4</v>
      </c>
      <c r="AV231" s="49"/>
      <c r="AW231" s="49"/>
      <c r="AX231" s="49"/>
      <c r="AY231" s="49"/>
      <c r="AZ231" s="49"/>
      <c r="BA231" s="49"/>
      <c r="BB231" s="117" t="s">
        <v>3885</v>
      </c>
      <c r="BC231" s="117" t="s">
        <v>3885</v>
      </c>
      <c r="BD231" s="117" t="s">
        <v>4583</v>
      </c>
      <c r="BE231" s="117" t="s">
        <v>4583</v>
      </c>
      <c r="BF231" s="2"/>
      <c r="BG231" s="3"/>
      <c r="BH231" s="3"/>
      <c r="BI231" s="3"/>
      <c r="BJ231" s="3"/>
    </row>
    <row r="232" spans="1:62" ht="15">
      <c r="A232" s="66" t="s">
        <v>414</v>
      </c>
      <c r="B232" s="67"/>
      <c r="C232" s="67"/>
      <c r="D232" s="68">
        <v>50</v>
      </c>
      <c r="E232" s="70"/>
      <c r="F232" s="105" t="str">
        <f>HYPERLINK("https://yt3.ggpht.com/ytc/AIf8zZQ6sfjKfB7qGvnTdwJN0Pto1Y2myn4J26PBzN13=s88-c-k-c0x00ffffff-no-rj")</f>
        <v>https://yt3.ggpht.com/ytc/AIf8zZQ6sfjKfB7qGvnTdwJN0Pto1Y2myn4J26PBzN13=s88-c-k-c0x00ffffff-no-rj</v>
      </c>
      <c r="G232" s="67"/>
      <c r="H232" s="71" t="s">
        <v>2644</v>
      </c>
      <c r="I232" s="72"/>
      <c r="J232" s="72" t="s">
        <v>159</v>
      </c>
      <c r="K232" s="71" t="s">
        <v>2644</v>
      </c>
      <c r="L232" s="75">
        <v>1</v>
      </c>
      <c r="M232" s="76">
        <v>8060.21826171875</v>
      </c>
      <c r="N232" s="76">
        <v>9787.1328125</v>
      </c>
      <c r="O232" s="77"/>
      <c r="P232" s="78"/>
      <c r="Q232" s="78"/>
      <c r="R232" s="90"/>
      <c r="S232" s="49">
        <v>0</v>
      </c>
      <c r="T232" s="49">
        <v>1</v>
      </c>
      <c r="U232" s="50">
        <v>0</v>
      </c>
      <c r="V232" s="50">
        <v>0.220844</v>
      </c>
      <c r="W232" s="51"/>
      <c r="X232" s="51"/>
      <c r="Y232" s="51"/>
      <c r="Z232" s="50"/>
      <c r="AA232" s="73">
        <v>232</v>
      </c>
      <c r="AB232" s="73"/>
      <c r="AC232" s="74"/>
      <c r="AD232" s="81" t="s">
        <v>2644</v>
      </c>
      <c r="AE232" s="81"/>
      <c r="AF232" s="81"/>
      <c r="AG232" s="81"/>
      <c r="AH232" s="81"/>
      <c r="AI232" s="81" t="s">
        <v>3275</v>
      </c>
      <c r="AJ232" s="88">
        <v>42726.70390046296</v>
      </c>
      <c r="AK232" s="86" t="str">
        <f>HYPERLINK("https://yt3.ggpht.com/ytc/AIf8zZQ6sfjKfB7qGvnTdwJN0Pto1Y2myn4J26PBzN13=s88-c-k-c0x00ffffff-no-rj")</f>
        <v>https://yt3.ggpht.com/ytc/AIf8zZQ6sfjKfB7qGvnTdwJN0Pto1Y2myn4J26PBzN13=s88-c-k-c0x00ffffff-no-rj</v>
      </c>
      <c r="AL232" s="81">
        <v>0</v>
      </c>
      <c r="AM232" s="81">
        <v>0</v>
      </c>
      <c r="AN232" s="81">
        <v>0</v>
      </c>
      <c r="AO232" s="81" t="b">
        <v>0</v>
      </c>
      <c r="AP232" s="81">
        <v>0</v>
      </c>
      <c r="AQ232" s="81"/>
      <c r="AR232" s="81"/>
      <c r="AS232" s="81" t="s">
        <v>3378</v>
      </c>
      <c r="AT232" s="86" t="str">
        <f>HYPERLINK("https://www.youtube.com/channel/UCJPM8A2JFVb0iwwk8BprOdQ")</f>
        <v>https://www.youtube.com/channel/UCJPM8A2JFVb0iwwk8BprOdQ</v>
      </c>
      <c r="AU232" s="81" t="str">
        <f>REPLACE(INDEX(GroupVertices[Group],MATCH("~"&amp;Vertices[[#This Row],[Vertex]],GroupVertices[Vertex],0)),1,1,"")</f>
        <v>4</v>
      </c>
      <c r="AV232" s="49"/>
      <c r="AW232" s="49"/>
      <c r="AX232" s="49"/>
      <c r="AY232" s="49"/>
      <c r="AZ232" s="49"/>
      <c r="BA232" s="49"/>
      <c r="BB232" s="117" t="s">
        <v>3886</v>
      </c>
      <c r="BC232" s="117" t="s">
        <v>3886</v>
      </c>
      <c r="BD232" s="117" t="s">
        <v>4584</v>
      </c>
      <c r="BE232" s="117" t="s">
        <v>4584</v>
      </c>
      <c r="BF232" s="2"/>
      <c r="BG232" s="3"/>
      <c r="BH232" s="3"/>
      <c r="BI232" s="3"/>
      <c r="BJ232" s="3"/>
    </row>
    <row r="233" spans="1:62" ht="15">
      <c r="A233" s="66" t="s">
        <v>415</v>
      </c>
      <c r="B233" s="67"/>
      <c r="C233" s="67"/>
      <c r="D233" s="68">
        <v>50</v>
      </c>
      <c r="E233" s="70"/>
      <c r="F233" s="105" t="str">
        <f>HYPERLINK("https://yt3.ggpht.com/ytc/AIf8zZT5h36bHQ_G09LgOcFygQqZvmhA-riM20K6Jw=s88-c-k-c0x00ffffff-no-rj")</f>
        <v>https://yt3.ggpht.com/ytc/AIf8zZT5h36bHQ_G09LgOcFygQqZvmhA-riM20K6Jw=s88-c-k-c0x00ffffff-no-rj</v>
      </c>
      <c r="G233" s="67"/>
      <c r="H233" s="71" t="s">
        <v>2645</v>
      </c>
      <c r="I233" s="72"/>
      <c r="J233" s="72" t="s">
        <v>159</v>
      </c>
      <c r="K233" s="71" t="s">
        <v>2645</v>
      </c>
      <c r="L233" s="75">
        <v>1</v>
      </c>
      <c r="M233" s="76">
        <v>9129.78125</v>
      </c>
      <c r="N233" s="76">
        <v>9602.4111328125</v>
      </c>
      <c r="O233" s="77"/>
      <c r="P233" s="78"/>
      <c r="Q233" s="78"/>
      <c r="R233" s="90"/>
      <c r="S233" s="49">
        <v>0</v>
      </c>
      <c r="T233" s="49">
        <v>1</v>
      </c>
      <c r="U233" s="50">
        <v>0</v>
      </c>
      <c r="V233" s="50">
        <v>0.220844</v>
      </c>
      <c r="W233" s="51"/>
      <c r="X233" s="51"/>
      <c r="Y233" s="51"/>
      <c r="Z233" s="50"/>
      <c r="AA233" s="73">
        <v>233</v>
      </c>
      <c r="AB233" s="73"/>
      <c r="AC233" s="74"/>
      <c r="AD233" s="81" t="s">
        <v>2645</v>
      </c>
      <c r="AE233" s="81"/>
      <c r="AF233" s="81"/>
      <c r="AG233" s="81"/>
      <c r="AH233" s="81"/>
      <c r="AI233" s="81" t="s">
        <v>1881</v>
      </c>
      <c r="AJ233" s="88">
        <v>41708.74012731481</v>
      </c>
      <c r="AK233" s="86" t="str">
        <f>HYPERLINK("https://yt3.ggpht.com/ytc/AIf8zZT5h36bHQ_G09LgOcFygQqZvmhA-riM20K6Jw=s88-c-k-c0x00ffffff-no-rj")</f>
        <v>https://yt3.ggpht.com/ytc/AIf8zZT5h36bHQ_G09LgOcFygQqZvmhA-riM20K6Jw=s88-c-k-c0x00ffffff-no-rj</v>
      </c>
      <c r="AL233" s="81">
        <v>0</v>
      </c>
      <c r="AM233" s="81">
        <v>0</v>
      </c>
      <c r="AN233" s="81">
        <v>0</v>
      </c>
      <c r="AO233" s="81" t="b">
        <v>0</v>
      </c>
      <c r="AP233" s="81">
        <v>0</v>
      </c>
      <c r="AQ233" s="81"/>
      <c r="AR233" s="81"/>
      <c r="AS233" s="81" t="s">
        <v>3378</v>
      </c>
      <c r="AT233" s="86" t="str">
        <f>HYPERLINK("https://www.youtube.com/channel/UCfUZfNaC5Y1BYkF6HVB9rlA")</f>
        <v>https://www.youtube.com/channel/UCfUZfNaC5Y1BYkF6HVB9rlA</v>
      </c>
      <c r="AU233" s="81" t="str">
        <f>REPLACE(INDEX(GroupVertices[Group],MATCH("~"&amp;Vertices[[#This Row],[Vertex]],GroupVertices[Vertex],0)),1,1,"")</f>
        <v>4</v>
      </c>
      <c r="AV233" s="49"/>
      <c r="AW233" s="49"/>
      <c r="AX233" s="49"/>
      <c r="AY233" s="49"/>
      <c r="AZ233" s="49"/>
      <c r="BA233" s="49"/>
      <c r="BB233" s="117" t="s">
        <v>3887</v>
      </c>
      <c r="BC233" s="117" t="s">
        <v>3887</v>
      </c>
      <c r="BD233" s="117" t="s">
        <v>4585</v>
      </c>
      <c r="BE233" s="117" t="s">
        <v>4585</v>
      </c>
      <c r="BF233" s="2"/>
      <c r="BG233" s="3"/>
      <c r="BH233" s="3"/>
      <c r="BI233" s="3"/>
      <c r="BJ233" s="3"/>
    </row>
    <row r="234" spans="1:62" ht="15">
      <c r="A234" s="66" t="s">
        <v>416</v>
      </c>
      <c r="B234" s="67"/>
      <c r="C234" s="67"/>
      <c r="D234" s="68">
        <v>50</v>
      </c>
      <c r="E234" s="70"/>
      <c r="F234" s="105" t="str">
        <f>HYPERLINK("https://yt3.ggpht.com/ytc/AIf8zZRqJN0r8AtUWEMUEYNUaLzc9oEhTNZfwJbALQ=s88-c-k-c0x00ffffff-no-rj")</f>
        <v>https://yt3.ggpht.com/ytc/AIf8zZRqJN0r8AtUWEMUEYNUaLzc9oEhTNZfwJbALQ=s88-c-k-c0x00ffffff-no-rj</v>
      </c>
      <c r="G234" s="67"/>
      <c r="H234" s="71" t="s">
        <v>2646</v>
      </c>
      <c r="I234" s="72"/>
      <c r="J234" s="72" t="s">
        <v>159</v>
      </c>
      <c r="K234" s="71" t="s">
        <v>2646</v>
      </c>
      <c r="L234" s="75">
        <v>1</v>
      </c>
      <c r="M234" s="76">
        <v>9627.5751953125</v>
      </c>
      <c r="N234" s="76">
        <v>9022.1611328125</v>
      </c>
      <c r="O234" s="77"/>
      <c r="P234" s="78"/>
      <c r="Q234" s="78"/>
      <c r="R234" s="90"/>
      <c r="S234" s="49">
        <v>0</v>
      </c>
      <c r="T234" s="49">
        <v>1</v>
      </c>
      <c r="U234" s="50">
        <v>0</v>
      </c>
      <c r="V234" s="50">
        <v>0.220844</v>
      </c>
      <c r="W234" s="51"/>
      <c r="X234" s="51"/>
      <c r="Y234" s="51"/>
      <c r="Z234" s="50"/>
      <c r="AA234" s="73">
        <v>234</v>
      </c>
      <c r="AB234" s="73"/>
      <c r="AC234" s="74"/>
      <c r="AD234" s="81" t="s">
        <v>2646</v>
      </c>
      <c r="AE234" s="81"/>
      <c r="AF234" s="81"/>
      <c r="AG234" s="81"/>
      <c r="AH234" s="81"/>
      <c r="AI234" s="81" t="s">
        <v>1882</v>
      </c>
      <c r="AJ234" s="88">
        <v>42539.77892361111</v>
      </c>
      <c r="AK234" s="86" t="str">
        <f>HYPERLINK("https://yt3.ggpht.com/ytc/AIf8zZRqJN0r8AtUWEMUEYNUaLzc9oEhTNZfwJbALQ=s88-c-k-c0x00ffffff-no-rj")</f>
        <v>https://yt3.ggpht.com/ytc/AIf8zZRqJN0r8AtUWEMUEYNUaLzc9oEhTNZfwJbALQ=s88-c-k-c0x00ffffff-no-rj</v>
      </c>
      <c r="AL234" s="81">
        <v>0</v>
      </c>
      <c r="AM234" s="81">
        <v>0</v>
      </c>
      <c r="AN234" s="81">
        <v>2</v>
      </c>
      <c r="AO234" s="81" t="b">
        <v>0</v>
      </c>
      <c r="AP234" s="81">
        <v>0</v>
      </c>
      <c r="AQ234" s="81"/>
      <c r="AR234" s="81"/>
      <c r="AS234" s="81" t="s">
        <v>3378</v>
      </c>
      <c r="AT234" s="86" t="str">
        <f>HYPERLINK("https://www.youtube.com/channel/UCGhliFXGBg5n4rUPVDjGgqQ")</f>
        <v>https://www.youtube.com/channel/UCGhliFXGBg5n4rUPVDjGgqQ</v>
      </c>
      <c r="AU234" s="81" t="str">
        <f>REPLACE(INDEX(GroupVertices[Group],MATCH("~"&amp;Vertices[[#This Row],[Vertex]],GroupVertices[Vertex],0)),1,1,"")</f>
        <v>4</v>
      </c>
      <c r="AV234" s="49"/>
      <c r="AW234" s="49"/>
      <c r="AX234" s="49"/>
      <c r="AY234" s="49"/>
      <c r="AZ234" s="49"/>
      <c r="BA234" s="49"/>
      <c r="BB234" s="117" t="s">
        <v>3888</v>
      </c>
      <c r="BC234" s="117" t="s">
        <v>3888</v>
      </c>
      <c r="BD234" s="117" t="s">
        <v>4586</v>
      </c>
      <c r="BE234" s="117" t="s">
        <v>4586</v>
      </c>
      <c r="BF234" s="2"/>
      <c r="BG234" s="3"/>
      <c r="BH234" s="3"/>
      <c r="BI234" s="3"/>
      <c r="BJ234" s="3"/>
    </row>
    <row r="235" spans="1:62" ht="15">
      <c r="A235" s="66" t="s">
        <v>417</v>
      </c>
      <c r="B235" s="67"/>
      <c r="C235" s="67"/>
      <c r="D235" s="68">
        <v>50</v>
      </c>
      <c r="E235" s="70"/>
      <c r="F235" s="105" t="str">
        <f>HYPERLINK("https://yt3.ggpht.com/ytc/AIf8zZQJr_vwBzYA8Ugopn1F582wBOjH4VjOn8P8sFVV=s88-c-k-c0x00ffffff-no-rj")</f>
        <v>https://yt3.ggpht.com/ytc/AIf8zZQJr_vwBzYA8Ugopn1F582wBOjH4VjOn8P8sFVV=s88-c-k-c0x00ffffff-no-rj</v>
      </c>
      <c r="G235" s="67"/>
      <c r="H235" s="71" t="s">
        <v>2647</v>
      </c>
      <c r="I235" s="72"/>
      <c r="J235" s="72" t="s">
        <v>159</v>
      </c>
      <c r="K235" s="71" t="s">
        <v>2647</v>
      </c>
      <c r="L235" s="75">
        <v>1</v>
      </c>
      <c r="M235" s="76">
        <v>9214.2451171875</v>
      </c>
      <c r="N235" s="76">
        <v>6089.27978515625</v>
      </c>
      <c r="O235" s="77"/>
      <c r="P235" s="78"/>
      <c r="Q235" s="78"/>
      <c r="R235" s="90"/>
      <c r="S235" s="49">
        <v>0</v>
      </c>
      <c r="T235" s="49">
        <v>1</v>
      </c>
      <c r="U235" s="50">
        <v>0</v>
      </c>
      <c r="V235" s="50">
        <v>0.220844</v>
      </c>
      <c r="W235" s="51"/>
      <c r="X235" s="51"/>
      <c r="Y235" s="51"/>
      <c r="Z235" s="50"/>
      <c r="AA235" s="73">
        <v>235</v>
      </c>
      <c r="AB235" s="73"/>
      <c r="AC235" s="74"/>
      <c r="AD235" s="81" t="s">
        <v>2647</v>
      </c>
      <c r="AE235" s="81"/>
      <c r="AF235" s="81"/>
      <c r="AG235" s="81"/>
      <c r="AH235" s="81"/>
      <c r="AI235" s="81" t="s">
        <v>3276</v>
      </c>
      <c r="AJ235" s="88">
        <v>40682.5072337963</v>
      </c>
      <c r="AK235" s="86" t="str">
        <f>HYPERLINK("https://yt3.ggpht.com/ytc/AIf8zZQJr_vwBzYA8Ugopn1F582wBOjH4VjOn8P8sFVV=s88-c-k-c0x00ffffff-no-rj")</f>
        <v>https://yt3.ggpht.com/ytc/AIf8zZQJr_vwBzYA8Ugopn1F582wBOjH4VjOn8P8sFVV=s88-c-k-c0x00ffffff-no-rj</v>
      </c>
      <c r="AL235" s="81">
        <v>74583</v>
      </c>
      <c r="AM235" s="81">
        <v>0</v>
      </c>
      <c r="AN235" s="81">
        <v>93</v>
      </c>
      <c r="AO235" s="81" t="b">
        <v>0</v>
      </c>
      <c r="AP235" s="81">
        <v>3</v>
      </c>
      <c r="AQ235" s="81"/>
      <c r="AR235" s="81"/>
      <c r="AS235" s="81" t="s">
        <v>3378</v>
      </c>
      <c r="AT235" s="86" t="str">
        <f>HYPERLINK("https://www.youtube.com/channel/UCu0XvjVuqz0-OuB0xpM9Fkw")</f>
        <v>https://www.youtube.com/channel/UCu0XvjVuqz0-OuB0xpM9Fkw</v>
      </c>
      <c r="AU235" s="81" t="str">
        <f>REPLACE(INDEX(GroupVertices[Group],MATCH("~"&amp;Vertices[[#This Row],[Vertex]],GroupVertices[Vertex],0)),1,1,"")</f>
        <v>4</v>
      </c>
      <c r="AV235" s="49"/>
      <c r="AW235" s="49"/>
      <c r="AX235" s="49"/>
      <c r="AY235" s="49"/>
      <c r="AZ235" s="49"/>
      <c r="BA235" s="49"/>
      <c r="BB235" s="117" t="s">
        <v>3889</v>
      </c>
      <c r="BC235" s="117" t="s">
        <v>3889</v>
      </c>
      <c r="BD235" s="117" t="s">
        <v>4587</v>
      </c>
      <c r="BE235" s="117" t="s">
        <v>4587</v>
      </c>
      <c r="BF235" s="2"/>
      <c r="BG235" s="3"/>
      <c r="BH235" s="3"/>
      <c r="BI235" s="3"/>
      <c r="BJ235" s="3"/>
    </row>
    <row r="236" spans="1:62" ht="15">
      <c r="A236" s="66" t="s">
        <v>418</v>
      </c>
      <c r="B236" s="67"/>
      <c r="C236" s="67"/>
      <c r="D236" s="68">
        <v>50</v>
      </c>
      <c r="E236" s="70"/>
      <c r="F236" s="105" t="str">
        <f>HYPERLINK("https://yt3.ggpht.com/ytc/AIf8zZTlwAIbREGL9Erx4b34Cr__xdyM_L9vAL-r4fS3QR8=s88-c-k-c0x00ffffff-no-rj")</f>
        <v>https://yt3.ggpht.com/ytc/AIf8zZTlwAIbREGL9Erx4b34Cr__xdyM_L9vAL-r4fS3QR8=s88-c-k-c0x00ffffff-no-rj</v>
      </c>
      <c r="G236" s="67"/>
      <c r="H236" s="71" t="s">
        <v>2648</v>
      </c>
      <c r="I236" s="72"/>
      <c r="J236" s="72" t="s">
        <v>159</v>
      </c>
      <c r="K236" s="71" t="s">
        <v>2648</v>
      </c>
      <c r="L236" s="75">
        <v>1</v>
      </c>
      <c r="M236" s="76">
        <v>8377.318359375</v>
      </c>
      <c r="N236" s="76">
        <v>6507.32958984375</v>
      </c>
      <c r="O236" s="77"/>
      <c r="P236" s="78"/>
      <c r="Q236" s="78"/>
      <c r="R236" s="90"/>
      <c r="S236" s="49">
        <v>0</v>
      </c>
      <c r="T236" s="49">
        <v>1</v>
      </c>
      <c r="U236" s="50">
        <v>0</v>
      </c>
      <c r="V236" s="50">
        <v>0.220844</v>
      </c>
      <c r="W236" s="51"/>
      <c r="X236" s="51"/>
      <c r="Y236" s="51"/>
      <c r="Z236" s="50"/>
      <c r="AA236" s="73">
        <v>236</v>
      </c>
      <c r="AB236" s="73"/>
      <c r="AC236" s="74"/>
      <c r="AD236" s="81" t="s">
        <v>2648</v>
      </c>
      <c r="AE236" s="81"/>
      <c r="AF236" s="81"/>
      <c r="AG236" s="81"/>
      <c r="AH236" s="81"/>
      <c r="AI236" s="81" t="s">
        <v>1884</v>
      </c>
      <c r="AJ236" s="88">
        <v>42989.68336805556</v>
      </c>
      <c r="AK236" s="86" t="str">
        <f>HYPERLINK("https://yt3.ggpht.com/ytc/AIf8zZTlwAIbREGL9Erx4b34Cr__xdyM_L9vAL-r4fS3QR8=s88-c-k-c0x00ffffff-no-rj")</f>
        <v>https://yt3.ggpht.com/ytc/AIf8zZTlwAIbREGL9Erx4b34Cr__xdyM_L9vAL-r4fS3QR8=s88-c-k-c0x00ffffff-no-rj</v>
      </c>
      <c r="AL236" s="81">
        <v>2883</v>
      </c>
      <c r="AM236" s="81">
        <v>0</v>
      </c>
      <c r="AN236" s="81">
        <v>46</v>
      </c>
      <c r="AO236" s="81" t="b">
        <v>0</v>
      </c>
      <c r="AP236" s="81">
        <v>20</v>
      </c>
      <c r="AQ236" s="81"/>
      <c r="AR236" s="81"/>
      <c r="AS236" s="81" t="s">
        <v>3378</v>
      </c>
      <c r="AT236" s="86" t="str">
        <f>HYPERLINK("https://www.youtube.com/channel/UCLuYC0iEWAGNAip25koO9iQ")</f>
        <v>https://www.youtube.com/channel/UCLuYC0iEWAGNAip25koO9iQ</v>
      </c>
      <c r="AU236" s="81" t="str">
        <f>REPLACE(INDEX(GroupVertices[Group],MATCH("~"&amp;Vertices[[#This Row],[Vertex]],GroupVertices[Vertex],0)),1,1,"")</f>
        <v>4</v>
      </c>
      <c r="AV236" s="49"/>
      <c r="AW236" s="49"/>
      <c r="AX236" s="49"/>
      <c r="AY236" s="49"/>
      <c r="AZ236" s="49"/>
      <c r="BA236" s="49"/>
      <c r="BB236" s="117" t="s">
        <v>3890</v>
      </c>
      <c r="BC236" s="117" t="s">
        <v>3890</v>
      </c>
      <c r="BD236" s="117" t="s">
        <v>4588</v>
      </c>
      <c r="BE236" s="117" t="s">
        <v>4588</v>
      </c>
      <c r="BF236" s="2"/>
      <c r="BG236" s="3"/>
      <c r="BH236" s="3"/>
      <c r="BI236" s="3"/>
      <c r="BJ236" s="3"/>
    </row>
    <row r="237" spans="1:62" ht="15">
      <c r="A237" s="66" t="s">
        <v>419</v>
      </c>
      <c r="B237" s="67"/>
      <c r="C237" s="67"/>
      <c r="D237" s="68">
        <v>50</v>
      </c>
      <c r="E237" s="70"/>
      <c r="F237" s="105" t="str">
        <f>HYPERLINK("https://yt3.ggpht.com/ytc/AIf8zZS55qoLCH7EvSEDgyfUGgGYahosZ37n0njfHw=s88-c-k-c0x00ffffff-no-rj")</f>
        <v>https://yt3.ggpht.com/ytc/AIf8zZS55qoLCH7EvSEDgyfUGgGYahosZ37n0njfHw=s88-c-k-c0x00ffffff-no-rj</v>
      </c>
      <c r="G237" s="67"/>
      <c r="H237" s="71" t="s">
        <v>2649</v>
      </c>
      <c r="I237" s="72"/>
      <c r="J237" s="72" t="s">
        <v>159</v>
      </c>
      <c r="K237" s="71" t="s">
        <v>2649</v>
      </c>
      <c r="L237" s="75">
        <v>1</v>
      </c>
      <c r="M237" s="76">
        <v>7960.087890625</v>
      </c>
      <c r="N237" s="76">
        <v>9016.1240234375</v>
      </c>
      <c r="O237" s="77"/>
      <c r="P237" s="78"/>
      <c r="Q237" s="78"/>
      <c r="R237" s="90"/>
      <c r="S237" s="49">
        <v>0</v>
      </c>
      <c r="T237" s="49">
        <v>1</v>
      </c>
      <c r="U237" s="50">
        <v>0</v>
      </c>
      <c r="V237" s="50">
        <v>0.220844</v>
      </c>
      <c r="W237" s="51"/>
      <c r="X237" s="51"/>
      <c r="Y237" s="51"/>
      <c r="Z237" s="50"/>
      <c r="AA237" s="73">
        <v>237</v>
      </c>
      <c r="AB237" s="73"/>
      <c r="AC237" s="74"/>
      <c r="AD237" s="81" t="s">
        <v>2649</v>
      </c>
      <c r="AE237" s="81"/>
      <c r="AF237" s="81"/>
      <c r="AG237" s="81"/>
      <c r="AH237" s="81"/>
      <c r="AI237" s="81" t="s">
        <v>1885</v>
      </c>
      <c r="AJ237" s="88">
        <v>44225.2508912037</v>
      </c>
      <c r="AK237" s="86" t="str">
        <f>HYPERLINK("https://yt3.ggpht.com/ytc/AIf8zZS55qoLCH7EvSEDgyfUGgGYahosZ37n0njfHw=s88-c-k-c0x00ffffff-no-rj")</f>
        <v>https://yt3.ggpht.com/ytc/AIf8zZS55qoLCH7EvSEDgyfUGgGYahosZ37n0njfHw=s88-c-k-c0x00ffffff-no-rj</v>
      </c>
      <c r="AL237" s="81">
        <v>0</v>
      </c>
      <c r="AM237" s="81">
        <v>0</v>
      </c>
      <c r="AN237" s="81">
        <v>3</v>
      </c>
      <c r="AO237" s="81" t="b">
        <v>0</v>
      </c>
      <c r="AP237" s="81">
        <v>0</v>
      </c>
      <c r="AQ237" s="81"/>
      <c r="AR237" s="81"/>
      <c r="AS237" s="81" t="s">
        <v>3378</v>
      </c>
      <c r="AT237" s="86" t="str">
        <f>HYPERLINK("https://www.youtube.com/channel/UCkMJzuwZYHCa58DH990xjiQ")</f>
        <v>https://www.youtube.com/channel/UCkMJzuwZYHCa58DH990xjiQ</v>
      </c>
      <c r="AU237" s="81" t="str">
        <f>REPLACE(INDEX(GroupVertices[Group],MATCH("~"&amp;Vertices[[#This Row],[Vertex]],GroupVertices[Vertex],0)),1,1,"")</f>
        <v>4</v>
      </c>
      <c r="AV237" s="49"/>
      <c r="AW237" s="49"/>
      <c r="AX237" s="49"/>
      <c r="AY237" s="49"/>
      <c r="AZ237" s="49"/>
      <c r="BA237" s="49"/>
      <c r="BB237" s="117" t="s">
        <v>3891</v>
      </c>
      <c r="BC237" s="117" t="s">
        <v>3891</v>
      </c>
      <c r="BD237" s="117" t="s">
        <v>4589</v>
      </c>
      <c r="BE237" s="117" t="s">
        <v>4589</v>
      </c>
      <c r="BF237" s="2"/>
      <c r="BG237" s="3"/>
      <c r="BH237" s="3"/>
      <c r="BI237" s="3"/>
      <c r="BJ237" s="3"/>
    </row>
    <row r="238" spans="1:62" ht="15">
      <c r="A238" s="66" t="s">
        <v>420</v>
      </c>
      <c r="B238" s="67"/>
      <c r="C238" s="67"/>
      <c r="D238" s="68">
        <v>50</v>
      </c>
      <c r="E238" s="70"/>
      <c r="F238" s="105" t="str">
        <f>HYPERLINK("https://yt3.ggpht.com/ytc/AIf8zZSIfhwoMzpZBfp3whYk8Wh8O0n8IqVEeonEKzHk=s88-c-k-c0x00ffffff-no-rj")</f>
        <v>https://yt3.ggpht.com/ytc/AIf8zZSIfhwoMzpZBfp3whYk8Wh8O0n8IqVEeonEKzHk=s88-c-k-c0x00ffffff-no-rj</v>
      </c>
      <c r="G238" s="67"/>
      <c r="H238" s="71" t="s">
        <v>2650</v>
      </c>
      <c r="I238" s="72"/>
      <c r="J238" s="72" t="s">
        <v>159</v>
      </c>
      <c r="K238" s="71" t="s">
        <v>2650</v>
      </c>
      <c r="L238" s="75">
        <v>1</v>
      </c>
      <c r="M238" s="76">
        <v>7375.16845703125</v>
      </c>
      <c r="N238" s="76">
        <v>6383.93017578125</v>
      </c>
      <c r="O238" s="77"/>
      <c r="P238" s="78"/>
      <c r="Q238" s="78"/>
      <c r="R238" s="90"/>
      <c r="S238" s="49">
        <v>0</v>
      </c>
      <c r="T238" s="49">
        <v>1</v>
      </c>
      <c r="U238" s="50">
        <v>0</v>
      </c>
      <c r="V238" s="50">
        <v>0.220844</v>
      </c>
      <c r="W238" s="51"/>
      <c r="X238" s="51"/>
      <c r="Y238" s="51"/>
      <c r="Z238" s="50"/>
      <c r="AA238" s="73">
        <v>238</v>
      </c>
      <c r="AB238" s="73"/>
      <c r="AC238" s="74"/>
      <c r="AD238" s="81" t="s">
        <v>2650</v>
      </c>
      <c r="AE238" s="81" t="s">
        <v>3162</v>
      </c>
      <c r="AF238" s="81"/>
      <c r="AG238" s="81"/>
      <c r="AH238" s="81"/>
      <c r="AI238" s="81" t="s">
        <v>3277</v>
      </c>
      <c r="AJ238" s="88">
        <v>44282.87232638889</v>
      </c>
      <c r="AK238" s="86" t="str">
        <f>HYPERLINK("https://yt3.ggpht.com/ytc/AIf8zZSIfhwoMzpZBfp3whYk8Wh8O0n8IqVEeonEKzHk=s88-c-k-c0x00ffffff-no-rj")</f>
        <v>https://yt3.ggpht.com/ytc/AIf8zZSIfhwoMzpZBfp3whYk8Wh8O0n8IqVEeonEKzHk=s88-c-k-c0x00ffffff-no-rj</v>
      </c>
      <c r="AL238" s="81">
        <v>60849</v>
      </c>
      <c r="AM238" s="81">
        <v>0</v>
      </c>
      <c r="AN238" s="81">
        <v>207</v>
      </c>
      <c r="AO238" s="81" t="b">
        <v>0</v>
      </c>
      <c r="AP238" s="81">
        <v>34</v>
      </c>
      <c r="AQ238" s="81"/>
      <c r="AR238" s="81"/>
      <c r="AS238" s="81" t="s">
        <v>3378</v>
      </c>
      <c r="AT238" s="86" t="str">
        <f>HYPERLINK("https://www.youtube.com/channel/UCOEV0d82acMptsU1quMiJBQ")</f>
        <v>https://www.youtube.com/channel/UCOEV0d82acMptsU1quMiJBQ</v>
      </c>
      <c r="AU238" s="81" t="str">
        <f>REPLACE(INDEX(GroupVertices[Group],MATCH("~"&amp;Vertices[[#This Row],[Vertex]],GroupVertices[Vertex],0)),1,1,"")</f>
        <v>4</v>
      </c>
      <c r="AV238" s="49"/>
      <c r="AW238" s="49"/>
      <c r="AX238" s="49"/>
      <c r="AY238" s="49"/>
      <c r="AZ238" s="49"/>
      <c r="BA238" s="49"/>
      <c r="BB238" s="117" t="s">
        <v>3892</v>
      </c>
      <c r="BC238" s="117" t="s">
        <v>3892</v>
      </c>
      <c r="BD238" s="117" t="s">
        <v>2423</v>
      </c>
      <c r="BE238" s="117" t="s">
        <v>2423</v>
      </c>
      <c r="BF238" s="2"/>
      <c r="BG238" s="3"/>
      <c r="BH238" s="3"/>
      <c r="BI238" s="3"/>
      <c r="BJ238" s="3"/>
    </row>
    <row r="239" spans="1:62" ht="15">
      <c r="A239" s="66" t="s">
        <v>421</v>
      </c>
      <c r="B239" s="67"/>
      <c r="C239" s="67"/>
      <c r="D239" s="68">
        <v>50</v>
      </c>
      <c r="E239" s="70"/>
      <c r="F239" s="105" t="str">
        <f>HYPERLINK("https://yt3.ggpht.com/ytc/AIf8zZTW5IwBIb5g-aoLkkXifGx7Zi3-hw4CPPQlZw=s88-c-k-c0x00ffffff-no-rj")</f>
        <v>https://yt3.ggpht.com/ytc/AIf8zZTW5IwBIb5g-aoLkkXifGx7Zi3-hw4CPPQlZw=s88-c-k-c0x00ffffff-no-rj</v>
      </c>
      <c r="G239" s="67"/>
      <c r="H239" s="71" t="s">
        <v>2651</v>
      </c>
      <c r="I239" s="72"/>
      <c r="J239" s="72" t="s">
        <v>159</v>
      </c>
      <c r="K239" s="71" t="s">
        <v>2651</v>
      </c>
      <c r="L239" s="75">
        <v>1</v>
      </c>
      <c r="M239" s="76">
        <v>9660.5166015625</v>
      </c>
      <c r="N239" s="76">
        <v>8129.841796875</v>
      </c>
      <c r="O239" s="77"/>
      <c r="P239" s="78"/>
      <c r="Q239" s="78"/>
      <c r="R239" s="90"/>
      <c r="S239" s="49">
        <v>0</v>
      </c>
      <c r="T239" s="49">
        <v>1</v>
      </c>
      <c r="U239" s="50">
        <v>0</v>
      </c>
      <c r="V239" s="50">
        <v>0.220844</v>
      </c>
      <c r="W239" s="51"/>
      <c r="X239" s="51"/>
      <c r="Y239" s="51"/>
      <c r="Z239" s="50"/>
      <c r="AA239" s="73">
        <v>239</v>
      </c>
      <c r="AB239" s="73"/>
      <c r="AC239" s="74"/>
      <c r="AD239" s="81" t="s">
        <v>2651</v>
      </c>
      <c r="AE239" s="81"/>
      <c r="AF239" s="81"/>
      <c r="AG239" s="81"/>
      <c r="AH239" s="81"/>
      <c r="AI239" s="81" t="s">
        <v>1887</v>
      </c>
      <c r="AJ239" s="88">
        <v>42380.31829861111</v>
      </c>
      <c r="AK239" s="86" t="str">
        <f>HYPERLINK("https://yt3.ggpht.com/ytc/AIf8zZTW5IwBIb5g-aoLkkXifGx7Zi3-hw4CPPQlZw=s88-c-k-c0x00ffffff-no-rj")</f>
        <v>https://yt3.ggpht.com/ytc/AIf8zZTW5IwBIb5g-aoLkkXifGx7Zi3-hw4CPPQlZw=s88-c-k-c0x00ffffff-no-rj</v>
      </c>
      <c r="AL239" s="81">
        <v>0</v>
      </c>
      <c r="AM239" s="81">
        <v>0</v>
      </c>
      <c r="AN239" s="81">
        <v>0</v>
      </c>
      <c r="AO239" s="81" t="b">
        <v>0</v>
      </c>
      <c r="AP239" s="81">
        <v>0</v>
      </c>
      <c r="AQ239" s="81"/>
      <c r="AR239" s="81"/>
      <c r="AS239" s="81" t="s">
        <v>3378</v>
      </c>
      <c r="AT239" s="86" t="str">
        <f>HYPERLINK("https://www.youtube.com/channel/UCD7SkVm2Eh76nSIo4GQz1Fw")</f>
        <v>https://www.youtube.com/channel/UCD7SkVm2Eh76nSIo4GQz1Fw</v>
      </c>
      <c r="AU239" s="81" t="str">
        <f>REPLACE(INDEX(GroupVertices[Group],MATCH("~"&amp;Vertices[[#This Row],[Vertex]],GroupVertices[Vertex],0)),1,1,"")</f>
        <v>4</v>
      </c>
      <c r="AV239" s="49"/>
      <c r="AW239" s="49"/>
      <c r="AX239" s="49"/>
      <c r="AY239" s="49"/>
      <c r="AZ239" s="49"/>
      <c r="BA239" s="49"/>
      <c r="BB239" s="117" t="s">
        <v>3893</v>
      </c>
      <c r="BC239" s="117" t="s">
        <v>3893</v>
      </c>
      <c r="BD239" s="117" t="s">
        <v>2423</v>
      </c>
      <c r="BE239" s="117" t="s">
        <v>2423</v>
      </c>
      <c r="BF239" s="2"/>
      <c r="BG239" s="3"/>
      <c r="BH239" s="3"/>
      <c r="BI239" s="3"/>
      <c r="BJ239" s="3"/>
    </row>
    <row r="240" spans="1:62" ht="15">
      <c r="A240" s="66" t="s">
        <v>422</v>
      </c>
      <c r="B240" s="67"/>
      <c r="C240" s="67"/>
      <c r="D240" s="68">
        <v>50</v>
      </c>
      <c r="E240" s="70"/>
      <c r="F240" s="105" t="str">
        <f>HYPERLINK("https://yt3.ggpht.com/4hlfTmxbOjzkezfK9GaC3E_CSOARQeDoqgZgZFihNEN_Q_25CHOi2MabQTj-CukERFj0TXvQ1A=s88-c-k-c0x00ffffff-no-rj")</f>
        <v>https://yt3.ggpht.com/4hlfTmxbOjzkezfK9GaC3E_CSOARQeDoqgZgZFihNEN_Q_25CHOi2MabQTj-CukERFj0TXvQ1A=s88-c-k-c0x00ffffff-no-rj</v>
      </c>
      <c r="G240" s="67"/>
      <c r="H240" s="71" t="s">
        <v>2652</v>
      </c>
      <c r="I240" s="72"/>
      <c r="J240" s="72" t="s">
        <v>159</v>
      </c>
      <c r="K240" s="71" t="s">
        <v>2652</v>
      </c>
      <c r="L240" s="75">
        <v>1</v>
      </c>
      <c r="M240" s="76">
        <v>7248.7841796875</v>
      </c>
      <c r="N240" s="76">
        <v>6610.99365234375</v>
      </c>
      <c r="O240" s="77"/>
      <c r="P240" s="78"/>
      <c r="Q240" s="78"/>
      <c r="R240" s="90"/>
      <c r="S240" s="49">
        <v>0</v>
      </c>
      <c r="T240" s="49">
        <v>1</v>
      </c>
      <c r="U240" s="50">
        <v>0</v>
      </c>
      <c r="V240" s="50">
        <v>0.220844</v>
      </c>
      <c r="W240" s="51"/>
      <c r="X240" s="51"/>
      <c r="Y240" s="51"/>
      <c r="Z240" s="50"/>
      <c r="AA240" s="73">
        <v>240</v>
      </c>
      <c r="AB240" s="73"/>
      <c r="AC240" s="74"/>
      <c r="AD240" s="81" t="s">
        <v>2652</v>
      </c>
      <c r="AE240" s="81"/>
      <c r="AF240" s="81"/>
      <c r="AG240" s="81"/>
      <c r="AH240" s="81"/>
      <c r="AI240" s="81" t="s">
        <v>3278</v>
      </c>
      <c r="AJ240" s="88">
        <v>39271.14324074074</v>
      </c>
      <c r="AK240" s="86" t="str">
        <f>HYPERLINK("https://yt3.ggpht.com/4hlfTmxbOjzkezfK9GaC3E_CSOARQeDoqgZgZFihNEN_Q_25CHOi2MabQTj-CukERFj0TXvQ1A=s88-c-k-c0x00ffffff-no-rj")</f>
        <v>https://yt3.ggpht.com/4hlfTmxbOjzkezfK9GaC3E_CSOARQeDoqgZgZFihNEN_Q_25CHOi2MabQTj-CukERFj0TXvQ1A=s88-c-k-c0x00ffffff-no-rj</v>
      </c>
      <c r="AL240" s="81">
        <v>0</v>
      </c>
      <c r="AM240" s="81">
        <v>0</v>
      </c>
      <c r="AN240" s="81">
        <v>0</v>
      </c>
      <c r="AO240" s="81" t="b">
        <v>0</v>
      </c>
      <c r="AP240" s="81">
        <v>0</v>
      </c>
      <c r="AQ240" s="81"/>
      <c r="AR240" s="81"/>
      <c r="AS240" s="81" t="s">
        <v>3378</v>
      </c>
      <c r="AT240" s="86" t="str">
        <f>HYPERLINK("https://www.youtube.com/channel/UCuBo-Yk7EMWQXQUq5LRJo6Q")</f>
        <v>https://www.youtube.com/channel/UCuBo-Yk7EMWQXQUq5LRJo6Q</v>
      </c>
      <c r="AU240" s="81" t="str">
        <f>REPLACE(INDEX(GroupVertices[Group],MATCH("~"&amp;Vertices[[#This Row],[Vertex]],GroupVertices[Vertex],0)),1,1,"")</f>
        <v>4</v>
      </c>
      <c r="AV240" s="49"/>
      <c r="AW240" s="49"/>
      <c r="AX240" s="49"/>
      <c r="AY240" s="49"/>
      <c r="AZ240" s="49"/>
      <c r="BA240" s="49"/>
      <c r="BB240" s="117" t="s">
        <v>3894</v>
      </c>
      <c r="BC240" s="117" t="s">
        <v>3894</v>
      </c>
      <c r="BD240" s="117" t="s">
        <v>4590</v>
      </c>
      <c r="BE240" s="117" t="s">
        <v>4590</v>
      </c>
      <c r="BF240" s="2"/>
      <c r="BG240" s="3"/>
      <c r="BH240" s="3"/>
      <c r="BI240" s="3"/>
      <c r="BJ240" s="3"/>
    </row>
    <row r="241" spans="1:62" ht="15">
      <c r="A241" s="66" t="s">
        <v>423</v>
      </c>
      <c r="B241" s="67"/>
      <c r="C241" s="67"/>
      <c r="D241" s="68">
        <v>50</v>
      </c>
      <c r="E241" s="70"/>
      <c r="F241" s="105" t="str">
        <f>HYPERLINK("https://yt3.ggpht.com/ytc/AIf8zZR93Ap4OI0ACIgb2YvUCiKiM8DiEeD2ICkp89s-Rw=s88-c-k-c0x00ffffff-no-rj")</f>
        <v>https://yt3.ggpht.com/ytc/AIf8zZR93Ap4OI0ACIgb2YvUCiKiM8DiEeD2ICkp89s-Rw=s88-c-k-c0x00ffffff-no-rj</v>
      </c>
      <c r="G241" s="67"/>
      <c r="H241" s="71" t="s">
        <v>2653</v>
      </c>
      <c r="I241" s="72"/>
      <c r="J241" s="72" t="s">
        <v>159</v>
      </c>
      <c r="K241" s="71" t="s">
        <v>2653</v>
      </c>
      <c r="L241" s="75">
        <v>1</v>
      </c>
      <c r="M241" s="76">
        <v>8283.12890625</v>
      </c>
      <c r="N241" s="76">
        <v>6987.85986328125</v>
      </c>
      <c r="O241" s="77"/>
      <c r="P241" s="78"/>
      <c r="Q241" s="78"/>
      <c r="R241" s="90"/>
      <c r="S241" s="49">
        <v>0</v>
      </c>
      <c r="T241" s="49">
        <v>1</v>
      </c>
      <c r="U241" s="50">
        <v>0</v>
      </c>
      <c r="V241" s="50">
        <v>0.220844</v>
      </c>
      <c r="W241" s="51"/>
      <c r="X241" s="51"/>
      <c r="Y241" s="51"/>
      <c r="Z241" s="50"/>
      <c r="AA241" s="73">
        <v>241</v>
      </c>
      <c r="AB241" s="73"/>
      <c r="AC241" s="74"/>
      <c r="AD241" s="81" t="s">
        <v>2653</v>
      </c>
      <c r="AE241" s="81"/>
      <c r="AF241" s="81"/>
      <c r="AG241" s="81"/>
      <c r="AH241" s="81"/>
      <c r="AI241" s="81" t="s">
        <v>1889</v>
      </c>
      <c r="AJ241" s="88">
        <v>39851.86927083333</v>
      </c>
      <c r="AK241" s="86" t="str">
        <f>HYPERLINK("https://yt3.ggpht.com/ytc/AIf8zZR93Ap4OI0ACIgb2YvUCiKiM8DiEeD2ICkp89s-Rw=s88-c-k-c0x00ffffff-no-rj")</f>
        <v>https://yt3.ggpht.com/ytc/AIf8zZR93Ap4OI0ACIgb2YvUCiKiM8DiEeD2ICkp89s-Rw=s88-c-k-c0x00ffffff-no-rj</v>
      </c>
      <c r="AL241" s="81">
        <v>74</v>
      </c>
      <c r="AM241" s="81">
        <v>0</v>
      </c>
      <c r="AN241" s="81">
        <v>0</v>
      </c>
      <c r="AO241" s="81" t="b">
        <v>0</v>
      </c>
      <c r="AP241" s="81">
        <v>4</v>
      </c>
      <c r="AQ241" s="81"/>
      <c r="AR241" s="81"/>
      <c r="AS241" s="81" t="s">
        <v>3378</v>
      </c>
      <c r="AT241" s="86" t="str">
        <f>HYPERLINK("https://www.youtube.com/channel/UC1BhnZu1dbQY9m9WPKvzz0g")</f>
        <v>https://www.youtube.com/channel/UC1BhnZu1dbQY9m9WPKvzz0g</v>
      </c>
      <c r="AU241" s="81" t="str">
        <f>REPLACE(INDEX(GroupVertices[Group],MATCH("~"&amp;Vertices[[#This Row],[Vertex]],GroupVertices[Vertex],0)),1,1,"")</f>
        <v>4</v>
      </c>
      <c r="AV241" s="49"/>
      <c r="AW241" s="49"/>
      <c r="AX241" s="49"/>
      <c r="AY241" s="49"/>
      <c r="AZ241" s="49"/>
      <c r="BA241" s="49"/>
      <c r="BB241" s="117" t="s">
        <v>3895</v>
      </c>
      <c r="BC241" s="117" t="s">
        <v>3895</v>
      </c>
      <c r="BD241" s="117" t="s">
        <v>4591</v>
      </c>
      <c r="BE241" s="117" t="s">
        <v>4591</v>
      </c>
      <c r="BF241" s="2"/>
      <c r="BG241" s="3"/>
      <c r="BH241" s="3"/>
      <c r="BI241" s="3"/>
      <c r="BJ241" s="3"/>
    </row>
    <row r="242" spans="1:62" ht="15">
      <c r="A242" s="66" t="s">
        <v>424</v>
      </c>
      <c r="B242" s="67"/>
      <c r="C242" s="67"/>
      <c r="D242" s="68">
        <v>50</v>
      </c>
      <c r="E242" s="70"/>
      <c r="F242" s="105" t="str">
        <f>HYPERLINK("https://yt3.ggpht.com/ytc/AIf8zZSrQIRfJhXw4_Alt6c8e2iI9do8alAz_bmBVetAJEWbJC0T42ilORXkk_01YCsx=s88-c-k-c0x00ffffff-no-rj")</f>
        <v>https://yt3.ggpht.com/ytc/AIf8zZSrQIRfJhXw4_Alt6c8e2iI9do8alAz_bmBVetAJEWbJC0T42ilORXkk_01YCsx=s88-c-k-c0x00ffffff-no-rj</v>
      </c>
      <c r="G242" s="67"/>
      <c r="H242" s="71" t="s">
        <v>2654</v>
      </c>
      <c r="I242" s="72"/>
      <c r="J242" s="72" t="s">
        <v>159</v>
      </c>
      <c r="K242" s="71" t="s">
        <v>2654</v>
      </c>
      <c r="L242" s="75">
        <v>1</v>
      </c>
      <c r="M242" s="76">
        <v>7271.89404296875</v>
      </c>
      <c r="N242" s="76">
        <v>8004.5908203125</v>
      </c>
      <c r="O242" s="77"/>
      <c r="P242" s="78"/>
      <c r="Q242" s="78"/>
      <c r="R242" s="90"/>
      <c r="S242" s="49">
        <v>0</v>
      </c>
      <c r="T242" s="49">
        <v>1</v>
      </c>
      <c r="U242" s="50">
        <v>0</v>
      </c>
      <c r="V242" s="50">
        <v>0.220844</v>
      </c>
      <c r="W242" s="51"/>
      <c r="X242" s="51"/>
      <c r="Y242" s="51"/>
      <c r="Z242" s="50"/>
      <c r="AA242" s="73">
        <v>242</v>
      </c>
      <c r="AB242" s="73"/>
      <c r="AC242" s="74"/>
      <c r="AD242" s="81" t="s">
        <v>2654</v>
      </c>
      <c r="AE242" s="81"/>
      <c r="AF242" s="81"/>
      <c r="AG242" s="81"/>
      <c r="AH242" s="81"/>
      <c r="AI242" s="81" t="s">
        <v>1890</v>
      </c>
      <c r="AJ242" s="88">
        <v>45019.95484953704</v>
      </c>
      <c r="AK242" s="86" t="str">
        <f>HYPERLINK("https://yt3.ggpht.com/ytc/AIf8zZSrQIRfJhXw4_Alt6c8e2iI9do8alAz_bmBVetAJEWbJC0T42ilORXkk_01YCsx=s88-c-k-c0x00ffffff-no-rj")</f>
        <v>https://yt3.ggpht.com/ytc/AIf8zZSrQIRfJhXw4_Alt6c8e2iI9do8alAz_bmBVetAJEWbJC0T42ilORXkk_01YCsx=s88-c-k-c0x00ffffff-no-rj</v>
      </c>
      <c r="AL242" s="81">
        <v>17</v>
      </c>
      <c r="AM242" s="81">
        <v>0</v>
      </c>
      <c r="AN242" s="81">
        <v>3</v>
      </c>
      <c r="AO242" s="81" t="b">
        <v>0</v>
      </c>
      <c r="AP242" s="81">
        <v>1</v>
      </c>
      <c r="AQ242" s="81"/>
      <c r="AR242" s="81"/>
      <c r="AS242" s="81" t="s">
        <v>3378</v>
      </c>
      <c r="AT242" s="86" t="str">
        <f>HYPERLINK("https://www.youtube.com/channel/UC9W3KUkMkHjclvRtHKSgTTA")</f>
        <v>https://www.youtube.com/channel/UC9W3KUkMkHjclvRtHKSgTTA</v>
      </c>
      <c r="AU242" s="81" t="str">
        <f>REPLACE(INDEX(GroupVertices[Group],MATCH("~"&amp;Vertices[[#This Row],[Vertex]],GroupVertices[Vertex],0)),1,1,"")</f>
        <v>4</v>
      </c>
      <c r="AV242" s="49"/>
      <c r="AW242" s="49"/>
      <c r="AX242" s="49"/>
      <c r="AY242" s="49"/>
      <c r="AZ242" s="49"/>
      <c r="BA242" s="49"/>
      <c r="BB242" s="117" t="s">
        <v>3896</v>
      </c>
      <c r="BC242" s="117" t="s">
        <v>3896</v>
      </c>
      <c r="BD242" s="117" t="s">
        <v>4592</v>
      </c>
      <c r="BE242" s="117" t="s">
        <v>4592</v>
      </c>
      <c r="BF242" s="2"/>
      <c r="BG242" s="3"/>
      <c r="BH242" s="3"/>
      <c r="BI242" s="3"/>
      <c r="BJ242" s="3"/>
    </row>
    <row r="243" spans="1:62" ht="15">
      <c r="A243" s="66" t="s">
        <v>425</v>
      </c>
      <c r="B243" s="67"/>
      <c r="C243" s="67"/>
      <c r="D243" s="68">
        <v>50</v>
      </c>
      <c r="E243" s="70"/>
      <c r="F243" s="105" t="str">
        <f>HYPERLINK("https://yt3.ggpht.com/ytc/AIf8zZSbqzMXLHsA-o0fHdUAbu4pl7aMr8lH7xkUoA=s88-c-k-c0x00ffffff-no-rj")</f>
        <v>https://yt3.ggpht.com/ytc/AIf8zZSbqzMXLHsA-o0fHdUAbu4pl7aMr8lH7xkUoA=s88-c-k-c0x00ffffff-no-rj</v>
      </c>
      <c r="G243" s="67"/>
      <c r="H243" s="71" t="s">
        <v>2655</v>
      </c>
      <c r="I243" s="72"/>
      <c r="J243" s="72" t="s">
        <v>159</v>
      </c>
      <c r="K243" s="71" t="s">
        <v>2655</v>
      </c>
      <c r="L243" s="75">
        <v>1</v>
      </c>
      <c r="M243" s="76">
        <v>8492.7265625</v>
      </c>
      <c r="N243" s="76">
        <v>9804.15625</v>
      </c>
      <c r="O243" s="77"/>
      <c r="P243" s="78"/>
      <c r="Q243" s="78"/>
      <c r="R243" s="90"/>
      <c r="S243" s="49">
        <v>0</v>
      </c>
      <c r="T243" s="49">
        <v>1</v>
      </c>
      <c r="U243" s="50">
        <v>0</v>
      </c>
      <c r="V243" s="50">
        <v>0.220844</v>
      </c>
      <c r="W243" s="51"/>
      <c r="X243" s="51"/>
      <c r="Y243" s="51"/>
      <c r="Z243" s="50"/>
      <c r="AA243" s="73">
        <v>243</v>
      </c>
      <c r="AB243" s="73"/>
      <c r="AC243" s="74"/>
      <c r="AD243" s="81" t="s">
        <v>2655</v>
      </c>
      <c r="AE243" s="81"/>
      <c r="AF243" s="81"/>
      <c r="AG243" s="81"/>
      <c r="AH243" s="81"/>
      <c r="AI243" s="81" t="s">
        <v>1891</v>
      </c>
      <c r="AJ243" s="88">
        <v>41508.832083333335</v>
      </c>
      <c r="AK243" s="86" t="str">
        <f>HYPERLINK("https://yt3.ggpht.com/ytc/AIf8zZSbqzMXLHsA-o0fHdUAbu4pl7aMr8lH7xkUoA=s88-c-k-c0x00ffffff-no-rj")</f>
        <v>https://yt3.ggpht.com/ytc/AIf8zZSbqzMXLHsA-o0fHdUAbu4pl7aMr8lH7xkUoA=s88-c-k-c0x00ffffff-no-rj</v>
      </c>
      <c r="AL243" s="81">
        <v>0</v>
      </c>
      <c r="AM243" s="81">
        <v>0</v>
      </c>
      <c r="AN243" s="81">
        <v>0</v>
      </c>
      <c r="AO243" s="81" t="b">
        <v>0</v>
      </c>
      <c r="AP243" s="81">
        <v>0</v>
      </c>
      <c r="AQ243" s="81"/>
      <c r="AR243" s="81"/>
      <c r="AS243" s="81" t="s">
        <v>3378</v>
      </c>
      <c r="AT243" s="86" t="str">
        <f>HYPERLINK("https://www.youtube.com/channel/UCu8VVTwOjV0biYdp0FY71MA")</f>
        <v>https://www.youtube.com/channel/UCu8VVTwOjV0biYdp0FY71MA</v>
      </c>
      <c r="AU243" s="81" t="str">
        <f>REPLACE(INDEX(GroupVertices[Group],MATCH("~"&amp;Vertices[[#This Row],[Vertex]],GroupVertices[Vertex],0)),1,1,"")</f>
        <v>4</v>
      </c>
      <c r="AV243" s="49"/>
      <c r="AW243" s="49"/>
      <c r="AX243" s="49"/>
      <c r="AY243" s="49"/>
      <c r="AZ243" s="49"/>
      <c r="BA243" s="49"/>
      <c r="BB243" s="117" t="s">
        <v>3897</v>
      </c>
      <c r="BC243" s="117" t="s">
        <v>3897</v>
      </c>
      <c r="BD243" s="117" t="s">
        <v>4593</v>
      </c>
      <c r="BE243" s="117" t="s">
        <v>4593</v>
      </c>
      <c r="BF243" s="2"/>
      <c r="BG243" s="3"/>
      <c r="BH243" s="3"/>
      <c r="BI243" s="3"/>
      <c r="BJ243" s="3"/>
    </row>
    <row r="244" spans="1:62" ht="15">
      <c r="A244" s="66" t="s">
        <v>426</v>
      </c>
      <c r="B244" s="67"/>
      <c r="C244" s="67"/>
      <c r="D244" s="68">
        <v>50</v>
      </c>
      <c r="E244" s="70"/>
      <c r="F244" s="105" t="str">
        <f>HYPERLINK("https://yt3.ggpht.com/ytc/AIf8zZQBYOGFz4bBo7zCCwenUbH1n0yNHYJ8KmqO55iO=s88-c-k-c0x00ffffff-no-rj")</f>
        <v>https://yt3.ggpht.com/ytc/AIf8zZQBYOGFz4bBo7zCCwenUbH1n0yNHYJ8KmqO55iO=s88-c-k-c0x00ffffff-no-rj</v>
      </c>
      <c r="G244" s="67"/>
      <c r="H244" s="71" t="s">
        <v>2656</v>
      </c>
      <c r="I244" s="72"/>
      <c r="J244" s="72" t="s">
        <v>159</v>
      </c>
      <c r="K244" s="71" t="s">
        <v>2656</v>
      </c>
      <c r="L244" s="75">
        <v>1</v>
      </c>
      <c r="M244" s="76">
        <v>8623.333984375</v>
      </c>
      <c r="N244" s="76">
        <v>5780.5107421875</v>
      </c>
      <c r="O244" s="77"/>
      <c r="P244" s="78"/>
      <c r="Q244" s="78"/>
      <c r="R244" s="90"/>
      <c r="S244" s="49">
        <v>0</v>
      </c>
      <c r="T244" s="49">
        <v>1</v>
      </c>
      <c r="U244" s="50">
        <v>0</v>
      </c>
      <c r="V244" s="50">
        <v>0.220844</v>
      </c>
      <c r="W244" s="51"/>
      <c r="X244" s="51"/>
      <c r="Y244" s="51"/>
      <c r="Z244" s="50"/>
      <c r="AA244" s="73">
        <v>244</v>
      </c>
      <c r="AB244" s="73"/>
      <c r="AC244" s="74"/>
      <c r="AD244" s="81" t="s">
        <v>2656</v>
      </c>
      <c r="AE244" s="81"/>
      <c r="AF244" s="81"/>
      <c r="AG244" s="81"/>
      <c r="AH244" s="81"/>
      <c r="AI244" s="81" t="s">
        <v>3279</v>
      </c>
      <c r="AJ244" s="88">
        <v>40063.79048611111</v>
      </c>
      <c r="AK244" s="86" t="str">
        <f>HYPERLINK("https://yt3.ggpht.com/ytc/AIf8zZQBYOGFz4bBo7zCCwenUbH1n0yNHYJ8KmqO55iO=s88-c-k-c0x00ffffff-no-rj")</f>
        <v>https://yt3.ggpht.com/ytc/AIf8zZQBYOGFz4bBo7zCCwenUbH1n0yNHYJ8KmqO55iO=s88-c-k-c0x00ffffff-no-rj</v>
      </c>
      <c r="AL244" s="81">
        <v>0</v>
      </c>
      <c r="AM244" s="81">
        <v>0</v>
      </c>
      <c r="AN244" s="81">
        <v>6</v>
      </c>
      <c r="AO244" s="81" t="b">
        <v>0</v>
      </c>
      <c r="AP244" s="81">
        <v>0</v>
      </c>
      <c r="AQ244" s="81"/>
      <c r="AR244" s="81"/>
      <c r="AS244" s="81" t="s">
        <v>3378</v>
      </c>
      <c r="AT244" s="86" t="str">
        <f>HYPERLINK("https://www.youtube.com/channel/UCJaWMXqDntTUBLiOC-ye7yA")</f>
        <v>https://www.youtube.com/channel/UCJaWMXqDntTUBLiOC-ye7yA</v>
      </c>
      <c r="AU244" s="81" t="str">
        <f>REPLACE(INDEX(GroupVertices[Group],MATCH("~"&amp;Vertices[[#This Row],[Vertex]],GroupVertices[Vertex],0)),1,1,"")</f>
        <v>4</v>
      </c>
      <c r="AV244" s="49"/>
      <c r="AW244" s="49"/>
      <c r="AX244" s="49"/>
      <c r="AY244" s="49"/>
      <c r="AZ244" s="49"/>
      <c r="BA244" s="49"/>
      <c r="BB244" s="117" t="s">
        <v>3898</v>
      </c>
      <c r="BC244" s="117" t="s">
        <v>3898</v>
      </c>
      <c r="BD244" s="117" t="s">
        <v>4594</v>
      </c>
      <c r="BE244" s="117" t="s">
        <v>4594</v>
      </c>
      <c r="BF244" s="2"/>
      <c r="BG244" s="3"/>
      <c r="BH244" s="3"/>
      <c r="BI244" s="3"/>
      <c r="BJ244" s="3"/>
    </row>
    <row r="245" spans="1:62" ht="15">
      <c r="A245" s="66" t="s">
        <v>427</v>
      </c>
      <c r="B245" s="67"/>
      <c r="C245" s="67"/>
      <c r="D245" s="68">
        <v>50</v>
      </c>
      <c r="E245" s="70"/>
      <c r="F245" s="105" t="str">
        <f>HYPERLINK("https://yt3.ggpht.com/ytc/AIf8zZSi6O7kk4uuTOG1-O51H_urCsgJPvdr1APHkjMI5g=s88-c-k-c0x00ffffff-no-rj")</f>
        <v>https://yt3.ggpht.com/ytc/AIf8zZSi6O7kk4uuTOG1-O51H_urCsgJPvdr1APHkjMI5g=s88-c-k-c0x00ffffff-no-rj</v>
      </c>
      <c r="G245" s="67"/>
      <c r="H245" s="71" t="s">
        <v>2657</v>
      </c>
      <c r="I245" s="72"/>
      <c r="J245" s="72" t="s">
        <v>159</v>
      </c>
      <c r="K245" s="71" t="s">
        <v>2657</v>
      </c>
      <c r="L245" s="75">
        <v>1</v>
      </c>
      <c r="M245" s="76">
        <v>7733.7158203125</v>
      </c>
      <c r="N245" s="76">
        <v>5998.40625</v>
      </c>
      <c r="O245" s="77"/>
      <c r="P245" s="78"/>
      <c r="Q245" s="78"/>
      <c r="R245" s="90"/>
      <c r="S245" s="49">
        <v>0</v>
      </c>
      <c r="T245" s="49">
        <v>1</v>
      </c>
      <c r="U245" s="50">
        <v>0</v>
      </c>
      <c r="V245" s="50">
        <v>0.220844</v>
      </c>
      <c r="W245" s="51"/>
      <c r="X245" s="51"/>
      <c r="Y245" s="51"/>
      <c r="Z245" s="50"/>
      <c r="AA245" s="73">
        <v>245</v>
      </c>
      <c r="AB245" s="73"/>
      <c r="AC245" s="74"/>
      <c r="AD245" s="81" t="s">
        <v>2657</v>
      </c>
      <c r="AE245" s="81"/>
      <c r="AF245" s="81"/>
      <c r="AG245" s="81"/>
      <c r="AH245" s="81"/>
      <c r="AI245" s="81" t="s">
        <v>1893</v>
      </c>
      <c r="AJ245" s="88">
        <v>39174.04295138889</v>
      </c>
      <c r="AK245" s="86" t="str">
        <f>HYPERLINK("https://yt3.ggpht.com/ytc/AIf8zZSi6O7kk4uuTOG1-O51H_urCsgJPvdr1APHkjMI5g=s88-c-k-c0x00ffffff-no-rj")</f>
        <v>https://yt3.ggpht.com/ytc/AIf8zZSi6O7kk4uuTOG1-O51H_urCsgJPvdr1APHkjMI5g=s88-c-k-c0x00ffffff-no-rj</v>
      </c>
      <c r="AL245" s="81">
        <v>0</v>
      </c>
      <c r="AM245" s="81">
        <v>0</v>
      </c>
      <c r="AN245" s="81">
        <v>0</v>
      </c>
      <c r="AO245" s="81" t="b">
        <v>0</v>
      </c>
      <c r="AP245" s="81">
        <v>0</v>
      </c>
      <c r="AQ245" s="81"/>
      <c r="AR245" s="81"/>
      <c r="AS245" s="81" t="s">
        <v>3378</v>
      </c>
      <c r="AT245" s="86" t="str">
        <f>HYPERLINK("https://www.youtube.com/channel/UCXHmCBQ6AVaWIXsXw1Om-BA")</f>
        <v>https://www.youtube.com/channel/UCXHmCBQ6AVaWIXsXw1Om-BA</v>
      </c>
      <c r="AU245" s="81" t="str">
        <f>REPLACE(INDEX(GroupVertices[Group],MATCH("~"&amp;Vertices[[#This Row],[Vertex]],GroupVertices[Vertex],0)),1,1,"")</f>
        <v>4</v>
      </c>
      <c r="AV245" s="49"/>
      <c r="AW245" s="49"/>
      <c r="AX245" s="49"/>
      <c r="AY245" s="49"/>
      <c r="AZ245" s="49"/>
      <c r="BA245" s="49"/>
      <c r="BB245" s="117" t="s">
        <v>3899</v>
      </c>
      <c r="BC245" s="117" t="s">
        <v>3899</v>
      </c>
      <c r="BD245" s="117" t="s">
        <v>4595</v>
      </c>
      <c r="BE245" s="117" t="s">
        <v>4595</v>
      </c>
      <c r="BF245" s="2"/>
      <c r="BG245" s="3"/>
      <c r="BH245" s="3"/>
      <c r="BI245" s="3"/>
      <c r="BJ245" s="3"/>
    </row>
    <row r="246" spans="1:62" ht="15">
      <c r="A246" s="66" t="s">
        <v>428</v>
      </c>
      <c r="B246" s="67"/>
      <c r="C246" s="67"/>
      <c r="D246" s="68">
        <v>50</v>
      </c>
      <c r="E246" s="70"/>
      <c r="F246" s="105" t="str">
        <f>HYPERLINK("https://yt3.ggpht.com/ytc/AIf8zZTz_tr-V4KvNw6b6JOjctK-xZVo1SLemdYwFQ=s88-c-k-c0x00ffffff-no-rj")</f>
        <v>https://yt3.ggpht.com/ytc/AIf8zZTz_tr-V4KvNw6b6JOjctK-xZVo1SLemdYwFQ=s88-c-k-c0x00ffffff-no-rj</v>
      </c>
      <c r="G246" s="67"/>
      <c r="H246" s="71" t="s">
        <v>2658</v>
      </c>
      <c r="I246" s="72"/>
      <c r="J246" s="72" t="s">
        <v>159</v>
      </c>
      <c r="K246" s="71" t="s">
        <v>2658</v>
      </c>
      <c r="L246" s="75">
        <v>1</v>
      </c>
      <c r="M246" s="76">
        <v>7040.97900390625</v>
      </c>
      <c r="N246" s="76">
        <v>8474.2529296875</v>
      </c>
      <c r="O246" s="77"/>
      <c r="P246" s="78"/>
      <c r="Q246" s="78"/>
      <c r="R246" s="90"/>
      <c r="S246" s="49">
        <v>0</v>
      </c>
      <c r="T246" s="49">
        <v>1</v>
      </c>
      <c r="U246" s="50">
        <v>0</v>
      </c>
      <c r="V246" s="50">
        <v>0.220844</v>
      </c>
      <c r="W246" s="51"/>
      <c r="X246" s="51"/>
      <c r="Y246" s="51"/>
      <c r="Z246" s="50"/>
      <c r="AA246" s="73">
        <v>246</v>
      </c>
      <c r="AB246" s="73"/>
      <c r="AC246" s="74"/>
      <c r="AD246" s="81" t="s">
        <v>2658</v>
      </c>
      <c r="AE246" s="81"/>
      <c r="AF246" s="81"/>
      <c r="AG246" s="81"/>
      <c r="AH246" s="81"/>
      <c r="AI246" s="81" t="s">
        <v>1894</v>
      </c>
      <c r="AJ246" s="88">
        <v>39556.949791666666</v>
      </c>
      <c r="AK246" s="86" t="str">
        <f>HYPERLINK("https://yt3.ggpht.com/ytc/AIf8zZTz_tr-V4KvNw6b6JOjctK-xZVo1SLemdYwFQ=s88-c-k-c0x00ffffff-no-rj")</f>
        <v>https://yt3.ggpht.com/ytc/AIf8zZTz_tr-V4KvNw6b6JOjctK-xZVo1SLemdYwFQ=s88-c-k-c0x00ffffff-no-rj</v>
      </c>
      <c r="AL246" s="81">
        <v>0</v>
      </c>
      <c r="AM246" s="81">
        <v>0</v>
      </c>
      <c r="AN246" s="81">
        <v>0</v>
      </c>
      <c r="AO246" s="81" t="b">
        <v>0</v>
      </c>
      <c r="AP246" s="81">
        <v>0</v>
      </c>
      <c r="AQ246" s="81"/>
      <c r="AR246" s="81"/>
      <c r="AS246" s="81" t="s">
        <v>3378</v>
      </c>
      <c r="AT246" s="86" t="str">
        <f>HYPERLINK("https://www.youtube.com/channel/UCIN-0WFv-dQp6i0SMWZmqNQ")</f>
        <v>https://www.youtube.com/channel/UCIN-0WFv-dQp6i0SMWZmqNQ</v>
      </c>
      <c r="AU246" s="81" t="str">
        <f>REPLACE(INDEX(GroupVertices[Group],MATCH("~"&amp;Vertices[[#This Row],[Vertex]],GroupVertices[Vertex],0)),1,1,"")</f>
        <v>4</v>
      </c>
      <c r="AV246" s="49"/>
      <c r="AW246" s="49"/>
      <c r="AX246" s="49"/>
      <c r="AY246" s="49"/>
      <c r="AZ246" s="49"/>
      <c r="BA246" s="49"/>
      <c r="BB246" s="117" t="s">
        <v>3900</v>
      </c>
      <c r="BC246" s="117" t="s">
        <v>3900</v>
      </c>
      <c r="BD246" s="117" t="s">
        <v>2423</v>
      </c>
      <c r="BE246" s="117" t="s">
        <v>2423</v>
      </c>
      <c r="BF246" s="2"/>
      <c r="BG246" s="3"/>
      <c r="BH246" s="3"/>
      <c r="BI246" s="3"/>
      <c r="BJ246" s="3"/>
    </row>
    <row r="247" spans="1:62" ht="15">
      <c r="A247" s="66" t="s">
        <v>429</v>
      </c>
      <c r="B247" s="67"/>
      <c r="C247" s="67"/>
      <c r="D247" s="68">
        <v>50</v>
      </c>
      <c r="E247" s="70"/>
      <c r="F247" s="105" t="str">
        <f>HYPERLINK("https://yt3.ggpht.com/cajpDDkRyb8F5rs01q2-iCBAjvoPeDQVOwf7-pfsIpraxaN3aJgFGA5GqdlrDHmsbMQfSo4FGA=s88-c-k-c0x00ffffff-no-rj")</f>
        <v>https://yt3.ggpht.com/cajpDDkRyb8F5rs01q2-iCBAjvoPeDQVOwf7-pfsIpraxaN3aJgFGA5GqdlrDHmsbMQfSo4FGA=s88-c-k-c0x00ffffff-no-rj</v>
      </c>
      <c r="G247" s="67"/>
      <c r="H247" s="71" t="s">
        <v>2659</v>
      </c>
      <c r="I247" s="72"/>
      <c r="J247" s="72" t="s">
        <v>159</v>
      </c>
      <c r="K247" s="71" t="s">
        <v>2659</v>
      </c>
      <c r="L247" s="75">
        <v>1</v>
      </c>
      <c r="M247" s="76">
        <v>8099.4208984375</v>
      </c>
      <c r="N247" s="76">
        <v>7437.7392578125</v>
      </c>
      <c r="O247" s="77"/>
      <c r="P247" s="78"/>
      <c r="Q247" s="78"/>
      <c r="R247" s="90"/>
      <c r="S247" s="49">
        <v>0</v>
      </c>
      <c r="T247" s="49">
        <v>1</v>
      </c>
      <c r="U247" s="50">
        <v>0</v>
      </c>
      <c r="V247" s="50">
        <v>0.220844</v>
      </c>
      <c r="W247" s="51"/>
      <c r="X247" s="51"/>
      <c r="Y247" s="51"/>
      <c r="Z247" s="50"/>
      <c r="AA247" s="73">
        <v>247</v>
      </c>
      <c r="AB247" s="73"/>
      <c r="AC247" s="74"/>
      <c r="AD247" s="81" t="s">
        <v>2659</v>
      </c>
      <c r="AE247" s="81" t="s">
        <v>3163</v>
      </c>
      <c r="AF247" s="81"/>
      <c r="AG247" s="81"/>
      <c r="AH247" s="81"/>
      <c r="AI247" s="81" t="s">
        <v>3280</v>
      </c>
      <c r="AJ247" s="88">
        <v>38728.84270833333</v>
      </c>
      <c r="AK247" s="86" t="str">
        <f>HYPERLINK("https://yt3.ggpht.com/cajpDDkRyb8F5rs01q2-iCBAjvoPeDQVOwf7-pfsIpraxaN3aJgFGA5GqdlrDHmsbMQfSo4FGA=s88-c-k-c0x00ffffff-no-rj")</f>
        <v>https://yt3.ggpht.com/cajpDDkRyb8F5rs01q2-iCBAjvoPeDQVOwf7-pfsIpraxaN3aJgFGA5GqdlrDHmsbMQfSo4FGA=s88-c-k-c0x00ffffff-no-rj</v>
      </c>
      <c r="AL247" s="81">
        <v>0</v>
      </c>
      <c r="AM247" s="81">
        <v>0</v>
      </c>
      <c r="AN247" s="81">
        <v>2500</v>
      </c>
      <c r="AO247" s="81" t="b">
        <v>0</v>
      </c>
      <c r="AP247" s="81">
        <v>0</v>
      </c>
      <c r="AQ247" s="81"/>
      <c r="AR247" s="81"/>
      <c r="AS247" s="81" t="s">
        <v>3378</v>
      </c>
      <c r="AT247" s="86" t="str">
        <f>HYPERLINK("https://www.youtube.com/channel/UCU1slH9iEO_LUlIlqxpvvDQ")</f>
        <v>https://www.youtube.com/channel/UCU1slH9iEO_LUlIlqxpvvDQ</v>
      </c>
      <c r="AU247" s="81" t="str">
        <f>REPLACE(INDEX(GroupVertices[Group],MATCH("~"&amp;Vertices[[#This Row],[Vertex]],GroupVertices[Vertex],0)),1,1,"")</f>
        <v>4</v>
      </c>
      <c r="AV247" s="49" t="s">
        <v>3671</v>
      </c>
      <c r="AW247" s="49" t="s">
        <v>3677</v>
      </c>
      <c r="AX247" s="49" t="s">
        <v>2414</v>
      </c>
      <c r="AY247" s="49" t="s">
        <v>2414</v>
      </c>
      <c r="AZ247" s="49"/>
      <c r="BA247" s="49"/>
      <c r="BB247" s="117" t="s">
        <v>3901</v>
      </c>
      <c r="BC247" s="117" t="s">
        <v>3901</v>
      </c>
      <c r="BD247" s="117" t="s">
        <v>4596</v>
      </c>
      <c r="BE247" s="117" t="s">
        <v>4596</v>
      </c>
      <c r="BF247" s="2"/>
      <c r="BG247" s="3"/>
      <c r="BH247" s="3"/>
      <c r="BI247" s="3"/>
      <c r="BJ247" s="3"/>
    </row>
    <row r="248" spans="1:62" ht="15">
      <c r="A248" s="66" t="s">
        <v>430</v>
      </c>
      <c r="B248" s="67"/>
      <c r="C248" s="67"/>
      <c r="D248" s="68">
        <v>50</v>
      </c>
      <c r="E248" s="70"/>
      <c r="F248" s="105" t="str">
        <f>HYPERLINK("https://yt3.ggpht.com/ytc/AIf8zZRqxA3yDRRpju_0yQpolI1zt2f2m2YVz6Pe8B3wWne1oAdBggGah1Yo2ZP1nYi8=s88-c-k-c0x00ffffff-no-rj")</f>
        <v>https://yt3.ggpht.com/ytc/AIf8zZRqxA3yDRRpju_0yQpolI1zt2f2m2YVz6Pe8B3wWne1oAdBggGah1Yo2ZP1nYi8=s88-c-k-c0x00ffffff-no-rj</v>
      </c>
      <c r="G248" s="67"/>
      <c r="H248" s="71" t="s">
        <v>2660</v>
      </c>
      <c r="I248" s="72"/>
      <c r="J248" s="72" t="s">
        <v>159</v>
      </c>
      <c r="K248" s="71" t="s">
        <v>2660</v>
      </c>
      <c r="L248" s="75">
        <v>1</v>
      </c>
      <c r="M248" s="76">
        <v>9888.81640625</v>
      </c>
      <c r="N248" s="76">
        <v>7522.72314453125</v>
      </c>
      <c r="O248" s="77"/>
      <c r="P248" s="78"/>
      <c r="Q248" s="78"/>
      <c r="R248" s="90"/>
      <c r="S248" s="49">
        <v>0</v>
      </c>
      <c r="T248" s="49">
        <v>1</v>
      </c>
      <c r="U248" s="50">
        <v>0</v>
      </c>
      <c r="V248" s="50">
        <v>0.220844</v>
      </c>
      <c r="W248" s="51"/>
      <c r="X248" s="51"/>
      <c r="Y248" s="51"/>
      <c r="Z248" s="50"/>
      <c r="AA248" s="73">
        <v>248</v>
      </c>
      <c r="AB248" s="73"/>
      <c r="AC248" s="74"/>
      <c r="AD248" s="81" t="s">
        <v>2660</v>
      </c>
      <c r="AE248" s="81"/>
      <c r="AF248" s="81"/>
      <c r="AG248" s="81"/>
      <c r="AH248" s="81"/>
      <c r="AI248" s="81" t="s">
        <v>1896</v>
      </c>
      <c r="AJ248" s="88">
        <v>45103.5203125</v>
      </c>
      <c r="AK248" s="86" t="str">
        <f>HYPERLINK("https://yt3.ggpht.com/ytc/AIf8zZRqxA3yDRRpju_0yQpolI1zt2f2m2YVz6Pe8B3wWne1oAdBggGah1Yo2ZP1nYi8=s88-c-k-c0x00ffffff-no-rj")</f>
        <v>https://yt3.ggpht.com/ytc/AIf8zZRqxA3yDRRpju_0yQpolI1zt2f2m2YVz6Pe8B3wWne1oAdBggGah1Yo2ZP1nYi8=s88-c-k-c0x00ffffff-no-rj</v>
      </c>
      <c r="AL248" s="81">
        <v>0</v>
      </c>
      <c r="AM248" s="81">
        <v>0</v>
      </c>
      <c r="AN248" s="81">
        <v>0</v>
      </c>
      <c r="AO248" s="81" t="b">
        <v>0</v>
      </c>
      <c r="AP248" s="81">
        <v>0</v>
      </c>
      <c r="AQ248" s="81"/>
      <c r="AR248" s="81"/>
      <c r="AS248" s="81" t="s">
        <v>3378</v>
      </c>
      <c r="AT248" s="86" t="str">
        <f>HYPERLINK("https://www.youtube.com/channel/UCqUQaS4-zPp4rdxPmxZ8Cng")</f>
        <v>https://www.youtube.com/channel/UCqUQaS4-zPp4rdxPmxZ8Cng</v>
      </c>
      <c r="AU248" s="81" t="str">
        <f>REPLACE(INDEX(GroupVertices[Group],MATCH("~"&amp;Vertices[[#This Row],[Vertex]],GroupVertices[Vertex],0)),1,1,"")</f>
        <v>4</v>
      </c>
      <c r="AV248" s="49"/>
      <c r="AW248" s="49"/>
      <c r="AX248" s="49"/>
      <c r="AY248" s="49"/>
      <c r="AZ248" s="49"/>
      <c r="BA248" s="49"/>
      <c r="BB248" s="117" t="s">
        <v>3902</v>
      </c>
      <c r="BC248" s="117" t="s">
        <v>3902</v>
      </c>
      <c r="BD248" s="117" t="s">
        <v>4597</v>
      </c>
      <c r="BE248" s="117" t="s">
        <v>4597</v>
      </c>
      <c r="BF248" s="2"/>
      <c r="BG248" s="3"/>
      <c r="BH248" s="3"/>
      <c r="BI248" s="3"/>
      <c r="BJ248" s="3"/>
    </row>
    <row r="249" spans="1:62" ht="15">
      <c r="A249" s="66" t="s">
        <v>431</v>
      </c>
      <c r="B249" s="67"/>
      <c r="C249" s="67"/>
      <c r="D249" s="68">
        <v>50</v>
      </c>
      <c r="E249" s="70"/>
      <c r="F249" s="105" t="str">
        <f>HYPERLINK("https://yt3.ggpht.com/ytc/AIf8zZSnEyeNAzPBHG2Ukrf7UAytL2N_Jj2pMTzXRsFJ1A=s88-c-k-c0x00ffffff-no-rj")</f>
        <v>https://yt3.ggpht.com/ytc/AIf8zZSnEyeNAzPBHG2Ukrf7UAytL2N_Jj2pMTzXRsFJ1A=s88-c-k-c0x00ffffff-no-rj</v>
      </c>
      <c r="G249" s="67"/>
      <c r="H249" s="71" t="s">
        <v>2661</v>
      </c>
      <c r="I249" s="72"/>
      <c r="J249" s="72" t="s">
        <v>159</v>
      </c>
      <c r="K249" s="71" t="s">
        <v>2661</v>
      </c>
      <c r="L249" s="75">
        <v>1</v>
      </c>
      <c r="M249" s="76">
        <v>8929.8115234375</v>
      </c>
      <c r="N249" s="76">
        <v>9731.556640625</v>
      </c>
      <c r="O249" s="77"/>
      <c r="P249" s="78"/>
      <c r="Q249" s="78"/>
      <c r="R249" s="90"/>
      <c r="S249" s="49">
        <v>0</v>
      </c>
      <c r="T249" s="49">
        <v>1</v>
      </c>
      <c r="U249" s="50">
        <v>0</v>
      </c>
      <c r="V249" s="50">
        <v>0.220844</v>
      </c>
      <c r="W249" s="51"/>
      <c r="X249" s="51"/>
      <c r="Y249" s="51"/>
      <c r="Z249" s="50"/>
      <c r="AA249" s="73">
        <v>249</v>
      </c>
      <c r="AB249" s="73"/>
      <c r="AC249" s="74"/>
      <c r="AD249" s="81" t="s">
        <v>2661</v>
      </c>
      <c r="AE249" s="81" t="s">
        <v>3164</v>
      </c>
      <c r="AF249" s="81"/>
      <c r="AG249" s="81"/>
      <c r="AH249" s="81"/>
      <c r="AI249" s="81" t="s">
        <v>1897</v>
      </c>
      <c r="AJ249" s="88">
        <v>40689.04876157407</v>
      </c>
      <c r="AK249" s="86" t="str">
        <f>HYPERLINK("https://yt3.ggpht.com/ytc/AIf8zZSnEyeNAzPBHG2Ukrf7UAytL2N_Jj2pMTzXRsFJ1A=s88-c-k-c0x00ffffff-no-rj")</f>
        <v>https://yt3.ggpht.com/ytc/AIf8zZSnEyeNAzPBHG2Ukrf7UAytL2N_Jj2pMTzXRsFJ1A=s88-c-k-c0x00ffffff-no-rj</v>
      </c>
      <c r="AL249" s="81">
        <v>1915</v>
      </c>
      <c r="AM249" s="81">
        <v>0</v>
      </c>
      <c r="AN249" s="81">
        <v>8</v>
      </c>
      <c r="AO249" s="81" t="b">
        <v>0</v>
      </c>
      <c r="AP249" s="81">
        <v>1</v>
      </c>
      <c r="AQ249" s="81"/>
      <c r="AR249" s="81"/>
      <c r="AS249" s="81" t="s">
        <v>3378</v>
      </c>
      <c r="AT249" s="86" t="str">
        <f>HYPERLINK("https://www.youtube.com/channel/UCQsZSxMgz0ZklRXTB4p-n_A")</f>
        <v>https://www.youtube.com/channel/UCQsZSxMgz0ZklRXTB4p-n_A</v>
      </c>
      <c r="AU249" s="81" t="str">
        <f>REPLACE(INDEX(GroupVertices[Group],MATCH("~"&amp;Vertices[[#This Row],[Vertex]],GroupVertices[Vertex],0)),1,1,"")</f>
        <v>4</v>
      </c>
      <c r="AV249" s="49"/>
      <c r="AW249" s="49"/>
      <c r="AX249" s="49"/>
      <c r="AY249" s="49"/>
      <c r="AZ249" s="49"/>
      <c r="BA249" s="49"/>
      <c r="BB249" s="117" t="s">
        <v>3903</v>
      </c>
      <c r="BC249" s="117" t="s">
        <v>3903</v>
      </c>
      <c r="BD249" s="117" t="s">
        <v>4598</v>
      </c>
      <c r="BE249" s="117" t="s">
        <v>4598</v>
      </c>
      <c r="BF249" s="2"/>
      <c r="BG249" s="3"/>
      <c r="BH249" s="3"/>
      <c r="BI249" s="3"/>
      <c r="BJ249" s="3"/>
    </row>
    <row r="250" spans="1:62" ht="15">
      <c r="A250" s="66" t="s">
        <v>432</v>
      </c>
      <c r="B250" s="67"/>
      <c r="C250" s="67"/>
      <c r="D250" s="68">
        <v>50</v>
      </c>
      <c r="E250" s="70"/>
      <c r="F250" s="105" t="str">
        <f>HYPERLINK("https://yt3.ggpht.com/ytc/AIf8zZQLTl3J8HQ6tfKQpoSm5bEa5nIxF_irnj8scXBG=s88-c-k-c0x00ffffff-no-rj")</f>
        <v>https://yt3.ggpht.com/ytc/AIf8zZQLTl3J8HQ6tfKQpoSm5bEa5nIxF_irnj8scXBG=s88-c-k-c0x00ffffff-no-rj</v>
      </c>
      <c r="G250" s="67"/>
      <c r="H250" s="71" t="s">
        <v>2662</v>
      </c>
      <c r="I250" s="72"/>
      <c r="J250" s="72" t="s">
        <v>159</v>
      </c>
      <c r="K250" s="71" t="s">
        <v>2662</v>
      </c>
      <c r="L250" s="75">
        <v>1</v>
      </c>
      <c r="M250" s="76">
        <v>7779.6591796875</v>
      </c>
      <c r="N250" s="76">
        <v>7145.330078125</v>
      </c>
      <c r="O250" s="77"/>
      <c r="P250" s="78"/>
      <c r="Q250" s="78"/>
      <c r="R250" s="90"/>
      <c r="S250" s="49">
        <v>0</v>
      </c>
      <c r="T250" s="49">
        <v>1</v>
      </c>
      <c r="U250" s="50">
        <v>0</v>
      </c>
      <c r="V250" s="50">
        <v>0.220844</v>
      </c>
      <c r="W250" s="51"/>
      <c r="X250" s="51"/>
      <c r="Y250" s="51"/>
      <c r="Z250" s="50"/>
      <c r="AA250" s="73">
        <v>250</v>
      </c>
      <c r="AB250" s="73"/>
      <c r="AC250" s="74"/>
      <c r="AD250" s="81" t="s">
        <v>2662</v>
      </c>
      <c r="AE250" s="81"/>
      <c r="AF250" s="81"/>
      <c r="AG250" s="81"/>
      <c r="AH250" s="81"/>
      <c r="AI250" s="81" t="s">
        <v>1898</v>
      </c>
      <c r="AJ250" s="88">
        <v>40826.65888888889</v>
      </c>
      <c r="AK250" s="86" t="str">
        <f>HYPERLINK("https://yt3.ggpht.com/ytc/AIf8zZQLTl3J8HQ6tfKQpoSm5bEa5nIxF_irnj8scXBG=s88-c-k-c0x00ffffff-no-rj")</f>
        <v>https://yt3.ggpht.com/ytc/AIf8zZQLTl3J8HQ6tfKQpoSm5bEa5nIxF_irnj8scXBG=s88-c-k-c0x00ffffff-no-rj</v>
      </c>
      <c r="AL250" s="81">
        <v>0</v>
      </c>
      <c r="AM250" s="81">
        <v>0</v>
      </c>
      <c r="AN250" s="81">
        <v>3</v>
      </c>
      <c r="AO250" s="81" t="b">
        <v>0</v>
      </c>
      <c r="AP250" s="81">
        <v>0</v>
      </c>
      <c r="AQ250" s="81"/>
      <c r="AR250" s="81"/>
      <c r="AS250" s="81" t="s">
        <v>3378</v>
      </c>
      <c r="AT250" s="86" t="str">
        <f>HYPERLINK("https://www.youtube.com/channel/UC-rcPVYiLrRYANiKXEzWGBw")</f>
        <v>https://www.youtube.com/channel/UC-rcPVYiLrRYANiKXEzWGBw</v>
      </c>
      <c r="AU250" s="81" t="str">
        <f>REPLACE(INDEX(GroupVertices[Group],MATCH("~"&amp;Vertices[[#This Row],[Vertex]],GroupVertices[Vertex],0)),1,1,"")</f>
        <v>4</v>
      </c>
      <c r="AV250" s="49"/>
      <c r="AW250" s="49"/>
      <c r="AX250" s="49"/>
      <c r="AY250" s="49"/>
      <c r="AZ250" s="49"/>
      <c r="BA250" s="49"/>
      <c r="BB250" s="117" t="s">
        <v>3904</v>
      </c>
      <c r="BC250" s="117" t="s">
        <v>3904</v>
      </c>
      <c r="BD250" s="117" t="s">
        <v>4599</v>
      </c>
      <c r="BE250" s="117" t="s">
        <v>4599</v>
      </c>
      <c r="BF250" s="2"/>
      <c r="BG250" s="3"/>
      <c r="BH250" s="3"/>
      <c r="BI250" s="3"/>
      <c r="BJ250" s="3"/>
    </row>
    <row r="251" spans="1:62" ht="15">
      <c r="A251" s="66" t="s">
        <v>433</v>
      </c>
      <c r="B251" s="67"/>
      <c r="C251" s="67"/>
      <c r="D251" s="68">
        <v>50</v>
      </c>
      <c r="E251" s="70"/>
      <c r="F251" s="105" t="str">
        <f>HYPERLINK("https://yt3.ggpht.com/ytc/AIf8zZSoiOS8sxP0fIRe0GGUBWpUCPwwdX1cYpqKZ04-_5285ytrIp_ShEeZ8zAZ3zZZ=s88-c-k-c0x00ffffff-no-rj")</f>
        <v>https://yt3.ggpht.com/ytc/AIf8zZSoiOS8sxP0fIRe0GGUBWpUCPwwdX1cYpqKZ04-_5285ytrIp_ShEeZ8zAZ3zZZ=s88-c-k-c0x00ffffff-no-rj</v>
      </c>
      <c r="G251" s="67"/>
      <c r="H251" s="71" t="s">
        <v>2663</v>
      </c>
      <c r="I251" s="72"/>
      <c r="J251" s="72" t="s">
        <v>159</v>
      </c>
      <c r="K251" s="71" t="s">
        <v>2663</v>
      </c>
      <c r="L251" s="75">
        <v>1</v>
      </c>
      <c r="M251" s="76">
        <v>7284.29052734375</v>
      </c>
      <c r="N251" s="76">
        <v>7596.02197265625</v>
      </c>
      <c r="O251" s="77"/>
      <c r="P251" s="78"/>
      <c r="Q251" s="78"/>
      <c r="R251" s="90"/>
      <c r="S251" s="49">
        <v>0</v>
      </c>
      <c r="T251" s="49">
        <v>1</v>
      </c>
      <c r="U251" s="50">
        <v>0</v>
      </c>
      <c r="V251" s="50">
        <v>0.220844</v>
      </c>
      <c r="W251" s="51"/>
      <c r="X251" s="51"/>
      <c r="Y251" s="51"/>
      <c r="Z251" s="50"/>
      <c r="AA251" s="73">
        <v>251</v>
      </c>
      <c r="AB251" s="73"/>
      <c r="AC251" s="74"/>
      <c r="AD251" s="81" t="s">
        <v>2663</v>
      </c>
      <c r="AE251" s="81"/>
      <c r="AF251" s="81"/>
      <c r="AG251" s="81"/>
      <c r="AH251" s="81"/>
      <c r="AI251" s="81" t="s">
        <v>3281</v>
      </c>
      <c r="AJ251" s="88">
        <v>44931.286990740744</v>
      </c>
      <c r="AK251" s="86" t="str">
        <f>HYPERLINK("https://yt3.ggpht.com/ytc/AIf8zZSoiOS8sxP0fIRe0GGUBWpUCPwwdX1cYpqKZ04-_5285ytrIp_ShEeZ8zAZ3zZZ=s88-c-k-c0x00ffffff-no-rj")</f>
        <v>https://yt3.ggpht.com/ytc/AIf8zZSoiOS8sxP0fIRe0GGUBWpUCPwwdX1cYpqKZ04-_5285ytrIp_ShEeZ8zAZ3zZZ=s88-c-k-c0x00ffffff-no-rj</v>
      </c>
      <c r="AL251" s="81">
        <v>0</v>
      </c>
      <c r="AM251" s="81">
        <v>0</v>
      </c>
      <c r="AN251" s="81">
        <v>2</v>
      </c>
      <c r="AO251" s="81" t="b">
        <v>0</v>
      </c>
      <c r="AP251" s="81">
        <v>0</v>
      </c>
      <c r="AQ251" s="81"/>
      <c r="AR251" s="81"/>
      <c r="AS251" s="81" t="s">
        <v>3378</v>
      </c>
      <c r="AT251" s="86" t="str">
        <f>HYPERLINK("https://www.youtube.com/channel/UCgqJB-dz-lidXyeFOQW3IJg")</f>
        <v>https://www.youtube.com/channel/UCgqJB-dz-lidXyeFOQW3IJg</v>
      </c>
      <c r="AU251" s="81" t="str">
        <f>REPLACE(INDEX(GroupVertices[Group],MATCH("~"&amp;Vertices[[#This Row],[Vertex]],GroupVertices[Vertex],0)),1,1,"")</f>
        <v>4</v>
      </c>
      <c r="AV251" s="49"/>
      <c r="AW251" s="49"/>
      <c r="AX251" s="49"/>
      <c r="AY251" s="49"/>
      <c r="AZ251" s="49"/>
      <c r="BA251" s="49"/>
      <c r="BB251" s="117" t="s">
        <v>3905</v>
      </c>
      <c r="BC251" s="117" t="s">
        <v>3905</v>
      </c>
      <c r="BD251" s="117" t="s">
        <v>4600</v>
      </c>
      <c r="BE251" s="117" t="s">
        <v>4600</v>
      </c>
      <c r="BF251" s="2"/>
      <c r="BG251" s="3"/>
      <c r="BH251" s="3"/>
      <c r="BI251" s="3"/>
      <c r="BJ251" s="3"/>
    </row>
    <row r="252" spans="1:62" ht="15">
      <c r="A252" s="66" t="s">
        <v>434</v>
      </c>
      <c r="B252" s="67"/>
      <c r="C252" s="67"/>
      <c r="D252" s="68">
        <v>50</v>
      </c>
      <c r="E252" s="70"/>
      <c r="F252" s="105" t="str">
        <f>HYPERLINK("https://yt3.ggpht.com/ytc/AIf8zZT0HRve8x0oP1rIF0Sq86oo7wLLNECHKzQPIMC7Xw=s88-c-k-c0x00ffffff-no-rj")</f>
        <v>https://yt3.ggpht.com/ytc/AIf8zZT0HRve8x0oP1rIF0Sq86oo7wLLNECHKzQPIMC7Xw=s88-c-k-c0x00ffffff-no-rj</v>
      </c>
      <c r="G252" s="67"/>
      <c r="H252" s="71" t="s">
        <v>2664</v>
      </c>
      <c r="I252" s="72"/>
      <c r="J252" s="72" t="s">
        <v>159</v>
      </c>
      <c r="K252" s="71" t="s">
        <v>2664</v>
      </c>
      <c r="L252" s="75">
        <v>1</v>
      </c>
      <c r="M252" s="76">
        <v>8390.4287109375</v>
      </c>
      <c r="N252" s="76">
        <v>5761.619140625</v>
      </c>
      <c r="O252" s="77"/>
      <c r="P252" s="78"/>
      <c r="Q252" s="78"/>
      <c r="R252" s="90"/>
      <c r="S252" s="49">
        <v>0</v>
      </c>
      <c r="T252" s="49">
        <v>1</v>
      </c>
      <c r="U252" s="50">
        <v>0</v>
      </c>
      <c r="V252" s="50">
        <v>0.220844</v>
      </c>
      <c r="W252" s="51"/>
      <c r="X252" s="51"/>
      <c r="Y252" s="51"/>
      <c r="Z252" s="50"/>
      <c r="AA252" s="73">
        <v>252</v>
      </c>
      <c r="AB252" s="73"/>
      <c r="AC252" s="74"/>
      <c r="AD252" s="81" t="s">
        <v>2664</v>
      </c>
      <c r="AE252" s="81"/>
      <c r="AF252" s="81"/>
      <c r="AG252" s="81"/>
      <c r="AH252" s="81"/>
      <c r="AI252" s="81" t="s">
        <v>1900</v>
      </c>
      <c r="AJ252" s="88">
        <v>40467.04717592592</v>
      </c>
      <c r="AK252" s="86" t="str">
        <f>HYPERLINK("https://yt3.ggpht.com/ytc/AIf8zZT0HRve8x0oP1rIF0Sq86oo7wLLNECHKzQPIMC7Xw=s88-c-k-c0x00ffffff-no-rj")</f>
        <v>https://yt3.ggpht.com/ytc/AIf8zZT0HRve8x0oP1rIF0Sq86oo7wLLNECHKzQPIMC7Xw=s88-c-k-c0x00ffffff-no-rj</v>
      </c>
      <c r="AL252" s="81">
        <v>0</v>
      </c>
      <c r="AM252" s="81">
        <v>0</v>
      </c>
      <c r="AN252" s="81">
        <v>1</v>
      </c>
      <c r="AO252" s="81" t="b">
        <v>0</v>
      </c>
      <c r="AP252" s="81">
        <v>0</v>
      </c>
      <c r="AQ252" s="81"/>
      <c r="AR252" s="81"/>
      <c r="AS252" s="81" t="s">
        <v>3378</v>
      </c>
      <c r="AT252" s="86" t="str">
        <f>HYPERLINK("https://www.youtube.com/channel/UCuSzEk0bgB3EWoMYMnW1ZNA")</f>
        <v>https://www.youtube.com/channel/UCuSzEk0bgB3EWoMYMnW1ZNA</v>
      </c>
      <c r="AU252" s="81" t="str">
        <f>REPLACE(INDEX(GroupVertices[Group],MATCH("~"&amp;Vertices[[#This Row],[Vertex]],GroupVertices[Vertex],0)),1,1,"")</f>
        <v>4</v>
      </c>
      <c r="AV252" s="49"/>
      <c r="AW252" s="49"/>
      <c r="AX252" s="49"/>
      <c r="AY252" s="49"/>
      <c r="AZ252" s="49"/>
      <c r="BA252" s="49"/>
      <c r="BB252" s="117" t="s">
        <v>3906</v>
      </c>
      <c r="BC252" s="117" t="s">
        <v>3906</v>
      </c>
      <c r="BD252" s="117" t="s">
        <v>4601</v>
      </c>
      <c r="BE252" s="117" t="s">
        <v>4601</v>
      </c>
      <c r="BF252" s="2"/>
      <c r="BG252" s="3"/>
      <c r="BH252" s="3"/>
      <c r="BI252" s="3"/>
      <c r="BJ252" s="3"/>
    </row>
    <row r="253" spans="1:62" ht="15">
      <c r="A253" s="66" t="s">
        <v>435</v>
      </c>
      <c r="B253" s="67"/>
      <c r="C253" s="67"/>
      <c r="D253" s="68">
        <v>50</v>
      </c>
      <c r="E253" s="70"/>
      <c r="F253" s="105" t="str">
        <f>HYPERLINK("https://yt3.ggpht.com/ytc/AIf8zZRusjXuzi8B9Sydk6fpoZMT2HDBiy2CFf9CSYtY=s88-c-k-c0x00ffffff-no-rj")</f>
        <v>https://yt3.ggpht.com/ytc/AIf8zZRusjXuzi8B9Sydk6fpoZMT2HDBiy2CFf9CSYtY=s88-c-k-c0x00ffffff-no-rj</v>
      </c>
      <c r="G253" s="67"/>
      <c r="H253" s="71" t="s">
        <v>2665</v>
      </c>
      <c r="I253" s="72"/>
      <c r="J253" s="72" t="s">
        <v>159</v>
      </c>
      <c r="K253" s="71" t="s">
        <v>2665</v>
      </c>
      <c r="L253" s="75">
        <v>1</v>
      </c>
      <c r="M253" s="76">
        <v>7614.1376953125</v>
      </c>
      <c r="N253" s="76">
        <v>8158.8076171875</v>
      </c>
      <c r="O253" s="77"/>
      <c r="P253" s="78"/>
      <c r="Q253" s="78"/>
      <c r="R253" s="90"/>
      <c r="S253" s="49">
        <v>0</v>
      </c>
      <c r="T253" s="49">
        <v>1</v>
      </c>
      <c r="U253" s="50">
        <v>0</v>
      </c>
      <c r="V253" s="50">
        <v>0.220844</v>
      </c>
      <c r="W253" s="51"/>
      <c r="X253" s="51"/>
      <c r="Y253" s="51"/>
      <c r="Z253" s="50"/>
      <c r="AA253" s="73">
        <v>253</v>
      </c>
      <c r="AB253" s="73"/>
      <c r="AC253" s="74"/>
      <c r="AD253" s="81" t="s">
        <v>2665</v>
      </c>
      <c r="AE253" s="81"/>
      <c r="AF253" s="81"/>
      <c r="AG253" s="81"/>
      <c r="AH253" s="81"/>
      <c r="AI253" s="81" t="s">
        <v>1901</v>
      </c>
      <c r="AJ253" s="88">
        <v>39654.19771990741</v>
      </c>
      <c r="AK253" s="86" t="str">
        <f>HYPERLINK("https://yt3.ggpht.com/ytc/AIf8zZRusjXuzi8B9Sydk6fpoZMT2HDBiy2CFf9CSYtY=s88-c-k-c0x00ffffff-no-rj")</f>
        <v>https://yt3.ggpht.com/ytc/AIf8zZRusjXuzi8B9Sydk6fpoZMT2HDBiy2CFf9CSYtY=s88-c-k-c0x00ffffff-no-rj</v>
      </c>
      <c r="AL253" s="81">
        <v>0</v>
      </c>
      <c r="AM253" s="81">
        <v>0</v>
      </c>
      <c r="AN253" s="81">
        <v>2</v>
      </c>
      <c r="AO253" s="81" t="b">
        <v>0</v>
      </c>
      <c r="AP253" s="81">
        <v>0</v>
      </c>
      <c r="AQ253" s="81"/>
      <c r="AR253" s="81"/>
      <c r="AS253" s="81" t="s">
        <v>3378</v>
      </c>
      <c r="AT253" s="86" t="str">
        <f>HYPERLINK("https://www.youtube.com/channel/UCd9JNguApr-6LI7Gqi5wedg")</f>
        <v>https://www.youtube.com/channel/UCd9JNguApr-6LI7Gqi5wedg</v>
      </c>
      <c r="AU253" s="81" t="str">
        <f>REPLACE(INDEX(GroupVertices[Group],MATCH("~"&amp;Vertices[[#This Row],[Vertex]],GroupVertices[Vertex],0)),1,1,"")</f>
        <v>4</v>
      </c>
      <c r="AV253" s="49"/>
      <c r="AW253" s="49"/>
      <c r="AX253" s="49"/>
      <c r="AY253" s="49"/>
      <c r="AZ253" s="49"/>
      <c r="BA253" s="49"/>
      <c r="BB253" s="117" t="s">
        <v>3907</v>
      </c>
      <c r="BC253" s="117" t="s">
        <v>3907</v>
      </c>
      <c r="BD253" s="117" t="s">
        <v>4602</v>
      </c>
      <c r="BE253" s="117" t="s">
        <v>4602</v>
      </c>
      <c r="BF253" s="2"/>
      <c r="BG253" s="3"/>
      <c r="BH253" s="3"/>
      <c r="BI253" s="3"/>
      <c r="BJ253" s="3"/>
    </row>
    <row r="254" spans="1:62" ht="15">
      <c r="A254" s="66" t="s">
        <v>436</v>
      </c>
      <c r="B254" s="67"/>
      <c r="C254" s="67"/>
      <c r="D254" s="68">
        <v>50</v>
      </c>
      <c r="E254" s="70"/>
      <c r="F254" s="105" t="str">
        <f>HYPERLINK("https://yt3.ggpht.com/ytc/AIf8zZRQZUeDROKcHdojdEQxZoiUGmO2iaOp2eEMTzVs=s88-c-k-c0x00ffffff-no-rj")</f>
        <v>https://yt3.ggpht.com/ytc/AIf8zZRQZUeDROKcHdojdEQxZoiUGmO2iaOp2eEMTzVs=s88-c-k-c0x00ffffff-no-rj</v>
      </c>
      <c r="G254" s="67"/>
      <c r="H254" s="71" t="s">
        <v>2666</v>
      </c>
      <c r="I254" s="72"/>
      <c r="J254" s="72" t="s">
        <v>159</v>
      </c>
      <c r="K254" s="71" t="s">
        <v>2666</v>
      </c>
      <c r="L254" s="75">
        <v>1</v>
      </c>
      <c r="M254" s="76">
        <v>8808.6298828125</v>
      </c>
      <c r="N254" s="76">
        <v>6212.412109375</v>
      </c>
      <c r="O254" s="77"/>
      <c r="P254" s="78"/>
      <c r="Q254" s="78"/>
      <c r="R254" s="90"/>
      <c r="S254" s="49">
        <v>0</v>
      </c>
      <c r="T254" s="49">
        <v>1</v>
      </c>
      <c r="U254" s="50">
        <v>0</v>
      </c>
      <c r="V254" s="50">
        <v>0.220844</v>
      </c>
      <c r="W254" s="51"/>
      <c r="X254" s="51"/>
      <c r="Y254" s="51"/>
      <c r="Z254" s="50"/>
      <c r="AA254" s="73">
        <v>254</v>
      </c>
      <c r="AB254" s="73"/>
      <c r="AC254" s="74"/>
      <c r="AD254" s="81" t="s">
        <v>2666</v>
      </c>
      <c r="AE254" s="81"/>
      <c r="AF254" s="81"/>
      <c r="AG254" s="81"/>
      <c r="AH254" s="81"/>
      <c r="AI254" s="81" t="s">
        <v>3282</v>
      </c>
      <c r="AJ254" s="88">
        <v>40165.453877314816</v>
      </c>
      <c r="AK254" s="86" t="str">
        <f>HYPERLINK("https://yt3.ggpht.com/ytc/AIf8zZRQZUeDROKcHdojdEQxZoiUGmO2iaOp2eEMTzVs=s88-c-k-c0x00ffffff-no-rj")</f>
        <v>https://yt3.ggpht.com/ytc/AIf8zZRQZUeDROKcHdojdEQxZoiUGmO2iaOp2eEMTzVs=s88-c-k-c0x00ffffff-no-rj</v>
      </c>
      <c r="AL254" s="81">
        <v>0</v>
      </c>
      <c r="AM254" s="81">
        <v>0</v>
      </c>
      <c r="AN254" s="81">
        <v>7</v>
      </c>
      <c r="AO254" s="81" t="b">
        <v>0</v>
      </c>
      <c r="AP254" s="81">
        <v>0</v>
      </c>
      <c r="AQ254" s="81"/>
      <c r="AR254" s="81"/>
      <c r="AS254" s="81" t="s">
        <v>3378</v>
      </c>
      <c r="AT254" s="86" t="str">
        <f>HYPERLINK("https://www.youtube.com/channel/UCm1KjKwfYWsxp72BqKiV0cw")</f>
        <v>https://www.youtube.com/channel/UCm1KjKwfYWsxp72BqKiV0cw</v>
      </c>
      <c r="AU254" s="81" t="str">
        <f>REPLACE(INDEX(GroupVertices[Group],MATCH("~"&amp;Vertices[[#This Row],[Vertex]],GroupVertices[Vertex],0)),1,1,"")</f>
        <v>4</v>
      </c>
      <c r="AV254" s="49"/>
      <c r="AW254" s="49"/>
      <c r="AX254" s="49"/>
      <c r="AY254" s="49"/>
      <c r="AZ254" s="49"/>
      <c r="BA254" s="49"/>
      <c r="BB254" s="117" t="s">
        <v>3908</v>
      </c>
      <c r="BC254" s="117" t="s">
        <v>3908</v>
      </c>
      <c r="BD254" s="117" t="s">
        <v>4603</v>
      </c>
      <c r="BE254" s="117" t="s">
        <v>4603</v>
      </c>
      <c r="BF254" s="2"/>
      <c r="BG254" s="3"/>
      <c r="BH254" s="3"/>
      <c r="BI254" s="3"/>
      <c r="BJ254" s="3"/>
    </row>
    <row r="255" spans="1:62" ht="15">
      <c r="A255" s="66" t="s">
        <v>438</v>
      </c>
      <c r="B255" s="67"/>
      <c r="C255" s="67"/>
      <c r="D255" s="68">
        <v>50</v>
      </c>
      <c r="E255" s="70"/>
      <c r="F255" s="105" t="str">
        <f>HYPERLINK("https://yt3.ggpht.com/ytc/AIf8zZR3LAAhZoVXNyN6rPwagm02wsvJziuKAPC1TurOZw=s88-c-k-c0x00ffffff-no-rj")</f>
        <v>https://yt3.ggpht.com/ytc/AIf8zZR3LAAhZoVXNyN6rPwagm02wsvJziuKAPC1TurOZw=s88-c-k-c0x00ffffff-no-rj</v>
      </c>
      <c r="G255" s="67"/>
      <c r="H255" s="71" t="s">
        <v>2668</v>
      </c>
      <c r="I255" s="72"/>
      <c r="J255" s="72" t="s">
        <v>159</v>
      </c>
      <c r="K255" s="71" t="s">
        <v>2668</v>
      </c>
      <c r="L255" s="75">
        <v>1</v>
      </c>
      <c r="M255" s="76">
        <v>7543.33349609375</v>
      </c>
      <c r="N255" s="76">
        <v>6167.2421875</v>
      </c>
      <c r="O255" s="77"/>
      <c r="P255" s="78"/>
      <c r="Q255" s="78"/>
      <c r="R255" s="90"/>
      <c r="S255" s="49">
        <v>0</v>
      </c>
      <c r="T255" s="49">
        <v>1</v>
      </c>
      <c r="U255" s="50">
        <v>0</v>
      </c>
      <c r="V255" s="50">
        <v>0.220844</v>
      </c>
      <c r="W255" s="51"/>
      <c r="X255" s="51"/>
      <c r="Y255" s="51"/>
      <c r="Z255" s="50"/>
      <c r="AA255" s="73">
        <v>255</v>
      </c>
      <c r="AB255" s="73"/>
      <c r="AC255" s="74"/>
      <c r="AD255" s="81" t="s">
        <v>2668</v>
      </c>
      <c r="AE255" s="81"/>
      <c r="AF255" s="81"/>
      <c r="AG255" s="81"/>
      <c r="AH255" s="81"/>
      <c r="AI255" s="81" t="s">
        <v>1904</v>
      </c>
      <c r="AJ255" s="88">
        <v>38929.500231481485</v>
      </c>
      <c r="AK255" s="86" t="str">
        <f>HYPERLINK("https://yt3.ggpht.com/ytc/AIf8zZR3LAAhZoVXNyN6rPwagm02wsvJziuKAPC1TurOZw=s88-c-k-c0x00ffffff-no-rj")</f>
        <v>https://yt3.ggpht.com/ytc/AIf8zZR3LAAhZoVXNyN6rPwagm02wsvJziuKAPC1TurOZw=s88-c-k-c0x00ffffff-no-rj</v>
      </c>
      <c r="AL255" s="81">
        <v>0</v>
      </c>
      <c r="AM255" s="81">
        <v>0</v>
      </c>
      <c r="AN255" s="81">
        <v>0</v>
      </c>
      <c r="AO255" s="81" t="b">
        <v>0</v>
      </c>
      <c r="AP255" s="81">
        <v>0</v>
      </c>
      <c r="AQ255" s="81"/>
      <c r="AR255" s="81"/>
      <c r="AS255" s="81" t="s">
        <v>3378</v>
      </c>
      <c r="AT255" s="86" t="str">
        <f>HYPERLINK("https://www.youtube.com/channel/UCtCNgmJwBZ9m6EtQR1CkZJA")</f>
        <v>https://www.youtube.com/channel/UCtCNgmJwBZ9m6EtQR1CkZJA</v>
      </c>
      <c r="AU255" s="81" t="str">
        <f>REPLACE(INDEX(GroupVertices[Group],MATCH("~"&amp;Vertices[[#This Row],[Vertex]],GroupVertices[Vertex],0)),1,1,"")</f>
        <v>4</v>
      </c>
      <c r="AV255" s="49"/>
      <c r="AW255" s="49"/>
      <c r="AX255" s="49"/>
      <c r="AY255" s="49"/>
      <c r="AZ255" s="49"/>
      <c r="BA255" s="49"/>
      <c r="BB255" s="117" t="s">
        <v>3910</v>
      </c>
      <c r="BC255" s="117" t="s">
        <v>3910</v>
      </c>
      <c r="BD255" s="117" t="s">
        <v>4605</v>
      </c>
      <c r="BE255" s="117" t="s">
        <v>4605</v>
      </c>
      <c r="BF255" s="2"/>
      <c r="BG255" s="3"/>
      <c r="BH255" s="3"/>
      <c r="BI255" s="3"/>
      <c r="BJ255" s="3"/>
    </row>
    <row r="256" spans="1:62" ht="15">
      <c r="A256" s="66" t="s">
        <v>439</v>
      </c>
      <c r="B256" s="67"/>
      <c r="C256" s="67"/>
      <c r="D256" s="68">
        <v>50</v>
      </c>
      <c r="E256" s="70"/>
      <c r="F256" s="105" t="str">
        <f>HYPERLINK("https://yt3.ggpht.com/ytc/AIf8zZQwoVW7ZtSKGm4Ll8rf6WFD_K6UCjZB0eI2Ww=s88-c-k-c0x00ffffff-no-rj")</f>
        <v>https://yt3.ggpht.com/ytc/AIf8zZQwoVW7ZtSKGm4Ll8rf6WFD_K6UCjZB0eI2Ww=s88-c-k-c0x00ffffff-no-rj</v>
      </c>
      <c r="G256" s="67"/>
      <c r="H256" s="71" t="s">
        <v>2669</v>
      </c>
      <c r="I256" s="72"/>
      <c r="J256" s="72" t="s">
        <v>159</v>
      </c>
      <c r="K256" s="71" t="s">
        <v>2669</v>
      </c>
      <c r="L256" s="75">
        <v>1</v>
      </c>
      <c r="M256" s="76">
        <v>7632.1328125</v>
      </c>
      <c r="N256" s="76">
        <v>9194.068359375</v>
      </c>
      <c r="O256" s="77"/>
      <c r="P256" s="78"/>
      <c r="Q256" s="78"/>
      <c r="R256" s="90"/>
      <c r="S256" s="49">
        <v>0</v>
      </c>
      <c r="T256" s="49">
        <v>1</v>
      </c>
      <c r="U256" s="50">
        <v>0</v>
      </c>
      <c r="V256" s="50">
        <v>0.220844</v>
      </c>
      <c r="W256" s="51"/>
      <c r="X256" s="51"/>
      <c r="Y256" s="51"/>
      <c r="Z256" s="50"/>
      <c r="AA256" s="73">
        <v>256</v>
      </c>
      <c r="AB256" s="73"/>
      <c r="AC256" s="74"/>
      <c r="AD256" s="81" t="s">
        <v>2669</v>
      </c>
      <c r="AE256" s="81"/>
      <c r="AF256" s="81"/>
      <c r="AG256" s="81"/>
      <c r="AH256" s="81"/>
      <c r="AI256" s="81" t="s">
        <v>1905</v>
      </c>
      <c r="AJ256" s="88">
        <v>39631.17559027778</v>
      </c>
      <c r="AK256" s="86" t="str">
        <f>HYPERLINK("https://yt3.ggpht.com/ytc/AIf8zZQwoVW7ZtSKGm4Ll8rf6WFD_K6UCjZB0eI2Ww=s88-c-k-c0x00ffffff-no-rj")</f>
        <v>https://yt3.ggpht.com/ytc/AIf8zZQwoVW7ZtSKGm4Ll8rf6WFD_K6UCjZB0eI2Ww=s88-c-k-c0x00ffffff-no-rj</v>
      </c>
      <c r="AL256" s="81">
        <v>25456</v>
      </c>
      <c r="AM256" s="81">
        <v>0</v>
      </c>
      <c r="AN256" s="81">
        <v>43</v>
      </c>
      <c r="AO256" s="81" t="b">
        <v>0</v>
      </c>
      <c r="AP256" s="81">
        <v>6</v>
      </c>
      <c r="AQ256" s="81"/>
      <c r="AR256" s="81"/>
      <c r="AS256" s="81" t="s">
        <v>3378</v>
      </c>
      <c r="AT256" s="86" t="str">
        <f>HYPERLINK("https://www.youtube.com/channel/UCSfSEgfzZPQmeCGwI3tMSqg")</f>
        <v>https://www.youtube.com/channel/UCSfSEgfzZPQmeCGwI3tMSqg</v>
      </c>
      <c r="AU256" s="81" t="str">
        <f>REPLACE(INDEX(GroupVertices[Group],MATCH("~"&amp;Vertices[[#This Row],[Vertex]],GroupVertices[Vertex],0)),1,1,"")</f>
        <v>4</v>
      </c>
      <c r="AV256" s="49"/>
      <c r="AW256" s="49"/>
      <c r="AX256" s="49"/>
      <c r="AY256" s="49"/>
      <c r="AZ256" s="49"/>
      <c r="BA256" s="49"/>
      <c r="BB256" s="117" t="s">
        <v>3911</v>
      </c>
      <c r="BC256" s="117" t="s">
        <v>3911</v>
      </c>
      <c r="BD256" s="117" t="s">
        <v>4606</v>
      </c>
      <c r="BE256" s="117" t="s">
        <v>4606</v>
      </c>
      <c r="BF256" s="2"/>
      <c r="BG256" s="3"/>
      <c r="BH256" s="3"/>
      <c r="BI256" s="3"/>
      <c r="BJ256" s="3"/>
    </row>
    <row r="257" spans="1:62" ht="15">
      <c r="A257" s="66" t="s">
        <v>440</v>
      </c>
      <c r="B257" s="67"/>
      <c r="C257" s="67"/>
      <c r="D257" s="68">
        <v>50</v>
      </c>
      <c r="E257" s="70"/>
      <c r="F257" s="105" t="str">
        <f>HYPERLINK("https://yt3.ggpht.com/ytc/AIf8zZTpUOwNl6CNQS5q1oiSCI7MVr1qCa7KVJsM=s88-c-k-c0x00ffffff-no-rj")</f>
        <v>https://yt3.ggpht.com/ytc/AIf8zZTpUOwNl6CNQS5q1oiSCI7MVr1qCa7KVJsM=s88-c-k-c0x00ffffff-no-rj</v>
      </c>
      <c r="G257" s="67"/>
      <c r="H257" s="71" t="s">
        <v>2670</v>
      </c>
      <c r="I257" s="72"/>
      <c r="J257" s="72" t="s">
        <v>159</v>
      </c>
      <c r="K257" s="71" t="s">
        <v>2670</v>
      </c>
      <c r="L257" s="75">
        <v>1</v>
      </c>
      <c r="M257" s="76">
        <v>7999.1142578125</v>
      </c>
      <c r="N257" s="76">
        <v>8465.6123046875</v>
      </c>
      <c r="O257" s="77"/>
      <c r="P257" s="78"/>
      <c r="Q257" s="78"/>
      <c r="R257" s="90"/>
      <c r="S257" s="49">
        <v>0</v>
      </c>
      <c r="T257" s="49">
        <v>1</v>
      </c>
      <c r="U257" s="50">
        <v>0</v>
      </c>
      <c r="V257" s="50">
        <v>0.220844</v>
      </c>
      <c r="W257" s="51"/>
      <c r="X257" s="51"/>
      <c r="Y257" s="51"/>
      <c r="Z257" s="50"/>
      <c r="AA257" s="73">
        <v>257</v>
      </c>
      <c r="AB257" s="73"/>
      <c r="AC257" s="74"/>
      <c r="AD257" s="81" t="s">
        <v>2670</v>
      </c>
      <c r="AE257" s="81"/>
      <c r="AF257" s="81"/>
      <c r="AG257" s="81"/>
      <c r="AH257" s="81"/>
      <c r="AI257" s="81" t="s">
        <v>1906</v>
      </c>
      <c r="AJ257" s="88">
        <v>40837.874548611115</v>
      </c>
      <c r="AK257" s="86" t="str">
        <f>HYPERLINK("https://yt3.ggpht.com/ytc/AIf8zZTpUOwNl6CNQS5q1oiSCI7MVr1qCa7KVJsM=s88-c-k-c0x00ffffff-no-rj")</f>
        <v>https://yt3.ggpht.com/ytc/AIf8zZTpUOwNl6CNQS5q1oiSCI7MVr1qCa7KVJsM=s88-c-k-c0x00ffffff-no-rj</v>
      </c>
      <c r="AL257" s="81">
        <v>0</v>
      </c>
      <c r="AM257" s="81">
        <v>0</v>
      </c>
      <c r="AN257" s="81">
        <v>3</v>
      </c>
      <c r="AO257" s="81" t="b">
        <v>0</v>
      </c>
      <c r="AP257" s="81">
        <v>0</v>
      </c>
      <c r="AQ257" s="81"/>
      <c r="AR257" s="81"/>
      <c r="AS257" s="81" t="s">
        <v>3378</v>
      </c>
      <c r="AT257" s="86" t="str">
        <f>HYPERLINK("https://www.youtube.com/channel/UCGhPCqsbIY10V576LMxYaww")</f>
        <v>https://www.youtube.com/channel/UCGhPCqsbIY10V576LMxYaww</v>
      </c>
      <c r="AU257" s="81" t="str">
        <f>REPLACE(INDEX(GroupVertices[Group],MATCH("~"&amp;Vertices[[#This Row],[Vertex]],GroupVertices[Vertex],0)),1,1,"")</f>
        <v>4</v>
      </c>
      <c r="AV257" s="49"/>
      <c r="AW257" s="49"/>
      <c r="AX257" s="49"/>
      <c r="AY257" s="49"/>
      <c r="AZ257" s="49"/>
      <c r="BA257" s="49"/>
      <c r="BB257" s="117" t="s">
        <v>3912</v>
      </c>
      <c r="BC257" s="117" t="s">
        <v>3912</v>
      </c>
      <c r="BD257" s="117" t="s">
        <v>4607</v>
      </c>
      <c r="BE257" s="117" t="s">
        <v>4607</v>
      </c>
      <c r="BF257" s="2"/>
      <c r="BG257" s="3"/>
      <c r="BH257" s="3"/>
      <c r="BI257" s="3"/>
      <c r="BJ257" s="3"/>
    </row>
    <row r="258" spans="1:62" ht="15">
      <c r="A258" s="66" t="s">
        <v>441</v>
      </c>
      <c r="B258" s="67"/>
      <c r="C258" s="67"/>
      <c r="D258" s="68">
        <v>50</v>
      </c>
      <c r="E258" s="70"/>
      <c r="F258" s="105" t="str">
        <f>HYPERLINK("https://yt3.ggpht.com/ytc/AIf8zZRnf5PpMb6j3AFttmYENal6fD3c4Zut3EW9eg=s88-c-k-c0x00ffffff-no-rj")</f>
        <v>https://yt3.ggpht.com/ytc/AIf8zZRnf5PpMb6j3AFttmYENal6fD3c4Zut3EW9eg=s88-c-k-c0x00ffffff-no-rj</v>
      </c>
      <c r="G258" s="67"/>
      <c r="H258" s="71" t="s">
        <v>2671</v>
      </c>
      <c r="I258" s="72"/>
      <c r="J258" s="72" t="s">
        <v>159</v>
      </c>
      <c r="K258" s="71" t="s">
        <v>2671</v>
      </c>
      <c r="L258" s="75">
        <v>1</v>
      </c>
      <c r="M258" s="76">
        <v>7823.14599609375</v>
      </c>
      <c r="N258" s="76">
        <v>9684.9296875</v>
      </c>
      <c r="O258" s="77"/>
      <c r="P258" s="78"/>
      <c r="Q258" s="78"/>
      <c r="R258" s="90"/>
      <c r="S258" s="49">
        <v>0</v>
      </c>
      <c r="T258" s="49">
        <v>1</v>
      </c>
      <c r="U258" s="50">
        <v>0</v>
      </c>
      <c r="V258" s="50">
        <v>0.220844</v>
      </c>
      <c r="W258" s="51"/>
      <c r="X258" s="51"/>
      <c r="Y258" s="51"/>
      <c r="Z258" s="50"/>
      <c r="AA258" s="73">
        <v>258</v>
      </c>
      <c r="AB258" s="73"/>
      <c r="AC258" s="74"/>
      <c r="AD258" s="81" t="s">
        <v>2671</v>
      </c>
      <c r="AE258" s="81"/>
      <c r="AF258" s="81"/>
      <c r="AG258" s="81"/>
      <c r="AH258" s="81"/>
      <c r="AI258" s="81" t="s">
        <v>1907</v>
      </c>
      <c r="AJ258" s="88">
        <v>41820.1925462963</v>
      </c>
      <c r="AK258" s="86" t="str">
        <f>HYPERLINK("https://yt3.ggpht.com/ytc/AIf8zZRnf5PpMb6j3AFttmYENal6fD3c4Zut3EW9eg=s88-c-k-c0x00ffffff-no-rj")</f>
        <v>https://yt3.ggpht.com/ytc/AIf8zZRnf5PpMb6j3AFttmYENal6fD3c4Zut3EW9eg=s88-c-k-c0x00ffffff-no-rj</v>
      </c>
      <c r="AL258" s="81">
        <v>5</v>
      </c>
      <c r="AM258" s="81">
        <v>0</v>
      </c>
      <c r="AN258" s="81">
        <v>1</v>
      </c>
      <c r="AO258" s="81" t="b">
        <v>0</v>
      </c>
      <c r="AP258" s="81">
        <v>1</v>
      </c>
      <c r="AQ258" s="81"/>
      <c r="AR258" s="81"/>
      <c r="AS258" s="81" t="s">
        <v>3378</v>
      </c>
      <c r="AT258" s="86" t="str">
        <f>HYPERLINK("https://www.youtube.com/channel/UCHF9prdfEY2TmPZTTdgYbsg")</f>
        <v>https://www.youtube.com/channel/UCHF9prdfEY2TmPZTTdgYbsg</v>
      </c>
      <c r="AU258" s="81" t="str">
        <f>REPLACE(INDEX(GroupVertices[Group],MATCH("~"&amp;Vertices[[#This Row],[Vertex]],GroupVertices[Vertex],0)),1,1,"")</f>
        <v>4</v>
      </c>
      <c r="AV258" s="49"/>
      <c r="AW258" s="49"/>
      <c r="AX258" s="49"/>
      <c r="AY258" s="49"/>
      <c r="AZ258" s="49"/>
      <c r="BA258" s="49"/>
      <c r="BB258" s="117" t="s">
        <v>3913</v>
      </c>
      <c r="BC258" s="117" t="s">
        <v>4361</v>
      </c>
      <c r="BD258" s="117" t="s">
        <v>4608</v>
      </c>
      <c r="BE258" s="117" t="s">
        <v>4608</v>
      </c>
      <c r="BF258" s="2"/>
      <c r="BG258" s="3"/>
      <c r="BH258" s="3"/>
      <c r="BI258" s="3"/>
      <c r="BJ258" s="3"/>
    </row>
    <row r="259" spans="1:62" ht="15">
      <c r="A259" s="66" t="s">
        <v>442</v>
      </c>
      <c r="B259" s="67"/>
      <c r="C259" s="67"/>
      <c r="D259" s="68">
        <v>50</v>
      </c>
      <c r="E259" s="70"/>
      <c r="F259" s="105" t="str">
        <f>HYPERLINK("https://yt3.ggpht.com/ytc/AIf8zZRtLvMs4b5cfkuv2LHqQxZQFLLLfAwEktxDU-PH3DE=s88-c-k-c0x00ffffff-no-rj")</f>
        <v>https://yt3.ggpht.com/ytc/AIf8zZRtLvMs4b5cfkuv2LHqQxZQFLLLfAwEktxDU-PH3DE=s88-c-k-c0x00ffffff-no-rj</v>
      </c>
      <c r="G259" s="67"/>
      <c r="H259" s="71" t="s">
        <v>2672</v>
      </c>
      <c r="I259" s="72"/>
      <c r="J259" s="72" t="s">
        <v>159</v>
      </c>
      <c r="K259" s="71" t="s">
        <v>2672</v>
      </c>
      <c r="L259" s="75">
        <v>1</v>
      </c>
      <c r="M259" s="76">
        <v>8694.091796875</v>
      </c>
      <c r="N259" s="76">
        <v>9820.7333984375</v>
      </c>
      <c r="O259" s="77"/>
      <c r="P259" s="78"/>
      <c r="Q259" s="78"/>
      <c r="R259" s="90"/>
      <c r="S259" s="49">
        <v>0</v>
      </c>
      <c r="T259" s="49">
        <v>1</v>
      </c>
      <c r="U259" s="50">
        <v>0</v>
      </c>
      <c r="V259" s="50">
        <v>0.220844</v>
      </c>
      <c r="W259" s="51"/>
      <c r="X259" s="51"/>
      <c r="Y259" s="51"/>
      <c r="Z259" s="50"/>
      <c r="AA259" s="73">
        <v>259</v>
      </c>
      <c r="AB259" s="73"/>
      <c r="AC259" s="74"/>
      <c r="AD259" s="81" t="s">
        <v>2672</v>
      </c>
      <c r="AE259" s="81"/>
      <c r="AF259" s="81"/>
      <c r="AG259" s="81"/>
      <c r="AH259" s="81"/>
      <c r="AI259" s="81" t="s">
        <v>1908</v>
      </c>
      <c r="AJ259" s="88">
        <v>40218.881423611114</v>
      </c>
      <c r="AK259" s="86" t="str">
        <f>HYPERLINK("https://yt3.ggpht.com/ytc/AIf8zZRtLvMs4b5cfkuv2LHqQxZQFLLLfAwEktxDU-PH3DE=s88-c-k-c0x00ffffff-no-rj")</f>
        <v>https://yt3.ggpht.com/ytc/AIf8zZRtLvMs4b5cfkuv2LHqQxZQFLLLfAwEktxDU-PH3DE=s88-c-k-c0x00ffffff-no-rj</v>
      </c>
      <c r="AL259" s="81">
        <v>1824</v>
      </c>
      <c r="AM259" s="81">
        <v>0</v>
      </c>
      <c r="AN259" s="81">
        <v>6</v>
      </c>
      <c r="AO259" s="81" t="b">
        <v>0</v>
      </c>
      <c r="AP259" s="81">
        <v>6</v>
      </c>
      <c r="AQ259" s="81"/>
      <c r="AR259" s="81"/>
      <c r="AS259" s="81" t="s">
        <v>3378</v>
      </c>
      <c r="AT259" s="86" t="str">
        <f>HYPERLINK("https://www.youtube.com/channel/UCDZ52wqqTchDtJLDofkcEMA")</f>
        <v>https://www.youtube.com/channel/UCDZ52wqqTchDtJLDofkcEMA</v>
      </c>
      <c r="AU259" s="81" t="str">
        <f>REPLACE(INDEX(GroupVertices[Group],MATCH("~"&amp;Vertices[[#This Row],[Vertex]],GroupVertices[Vertex],0)),1,1,"")</f>
        <v>4</v>
      </c>
      <c r="AV259" s="49"/>
      <c r="AW259" s="49"/>
      <c r="AX259" s="49"/>
      <c r="AY259" s="49"/>
      <c r="AZ259" s="49"/>
      <c r="BA259" s="49"/>
      <c r="BB259" s="117" t="s">
        <v>3914</v>
      </c>
      <c r="BC259" s="117" t="s">
        <v>3914</v>
      </c>
      <c r="BD259" s="117" t="s">
        <v>4609</v>
      </c>
      <c r="BE259" s="117" t="s">
        <v>4609</v>
      </c>
      <c r="BF259" s="2"/>
      <c r="BG259" s="3"/>
      <c r="BH259" s="3"/>
      <c r="BI259" s="3"/>
      <c r="BJ259" s="3"/>
    </row>
    <row r="260" spans="1:62" ht="15">
      <c r="A260" s="66" t="s">
        <v>443</v>
      </c>
      <c r="B260" s="67"/>
      <c r="C260" s="67"/>
      <c r="D260" s="68">
        <v>50</v>
      </c>
      <c r="E260" s="70"/>
      <c r="F260" s="105" t="str">
        <f>HYPERLINK("https://yt3.ggpht.com/ytc/AIf8zZTon6oc5wyRfPH2IjRtsVLsDVrLw0atcAJ9HcTIVSo=s88-c-k-c0x00ffffff-no-rj")</f>
        <v>https://yt3.ggpht.com/ytc/AIf8zZTon6oc5wyRfPH2IjRtsVLsDVrLw0atcAJ9HcTIVSo=s88-c-k-c0x00ffffff-no-rj</v>
      </c>
      <c r="G260" s="67"/>
      <c r="H260" s="71" t="s">
        <v>2673</v>
      </c>
      <c r="I260" s="72"/>
      <c r="J260" s="72" t="s">
        <v>159</v>
      </c>
      <c r="K260" s="71" t="s">
        <v>2673</v>
      </c>
      <c r="L260" s="75">
        <v>1</v>
      </c>
      <c r="M260" s="76">
        <v>7412.470703125</v>
      </c>
      <c r="N260" s="76">
        <v>9293.421875</v>
      </c>
      <c r="O260" s="77"/>
      <c r="P260" s="78"/>
      <c r="Q260" s="78"/>
      <c r="R260" s="90"/>
      <c r="S260" s="49">
        <v>0</v>
      </c>
      <c r="T260" s="49">
        <v>1</v>
      </c>
      <c r="U260" s="50">
        <v>0</v>
      </c>
      <c r="V260" s="50">
        <v>0.220844</v>
      </c>
      <c r="W260" s="51"/>
      <c r="X260" s="51"/>
      <c r="Y260" s="51"/>
      <c r="Z260" s="50"/>
      <c r="AA260" s="73">
        <v>260</v>
      </c>
      <c r="AB260" s="73"/>
      <c r="AC260" s="74"/>
      <c r="AD260" s="81" t="s">
        <v>2673</v>
      </c>
      <c r="AE260" s="81" t="s">
        <v>3165</v>
      </c>
      <c r="AF260" s="81"/>
      <c r="AG260" s="81"/>
      <c r="AH260" s="81"/>
      <c r="AI260" s="81" t="s">
        <v>3283</v>
      </c>
      <c r="AJ260" s="88">
        <v>41216.869780092595</v>
      </c>
      <c r="AK260" s="86" t="str">
        <f>HYPERLINK("https://yt3.ggpht.com/ytc/AIf8zZTon6oc5wyRfPH2IjRtsVLsDVrLw0atcAJ9HcTIVSo=s88-c-k-c0x00ffffff-no-rj")</f>
        <v>https://yt3.ggpht.com/ytc/AIf8zZTon6oc5wyRfPH2IjRtsVLsDVrLw0atcAJ9HcTIVSo=s88-c-k-c0x00ffffff-no-rj</v>
      </c>
      <c r="AL260" s="81">
        <v>0</v>
      </c>
      <c r="AM260" s="81">
        <v>0</v>
      </c>
      <c r="AN260" s="81">
        <v>4</v>
      </c>
      <c r="AO260" s="81" t="b">
        <v>0</v>
      </c>
      <c r="AP260" s="81">
        <v>0</v>
      </c>
      <c r="AQ260" s="81"/>
      <c r="AR260" s="81"/>
      <c r="AS260" s="81" t="s">
        <v>3378</v>
      </c>
      <c r="AT260" s="86" t="str">
        <f>HYPERLINK("https://www.youtube.com/channel/UC5syL2CCKytMHFJw-VY6I4Q")</f>
        <v>https://www.youtube.com/channel/UC5syL2CCKytMHFJw-VY6I4Q</v>
      </c>
      <c r="AU260" s="81" t="str">
        <f>REPLACE(INDEX(GroupVertices[Group],MATCH("~"&amp;Vertices[[#This Row],[Vertex]],GroupVertices[Vertex],0)),1,1,"")</f>
        <v>4</v>
      </c>
      <c r="AV260" s="49"/>
      <c r="AW260" s="49"/>
      <c r="AX260" s="49"/>
      <c r="AY260" s="49"/>
      <c r="AZ260" s="49"/>
      <c r="BA260" s="49"/>
      <c r="BB260" s="117" t="s">
        <v>3915</v>
      </c>
      <c r="BC260" s="117" t="s">
        <v>3915</v>
      </c>
      <c r="BD260" s="117" t="s">
        <v>4610</v>
      </c>
      <c r="BE260" s="117" t="s">
        <v>4610</v>
      </c>
      <c r="BF260" s="2"/>
      <c r="BG260" s="3"/>
      <c r="BH260" s="3"/>
      <c r="BI260" s="3"/>
      <c r="BJ260" s="3"/>
    </row>
    <row r="261" spans="1:62" ht="15">
      <c r="A261" s="66" t="s">
        <v>444</v>
      </c>
      <c r="B261" s="67"/>
      <c r="C261" s="67"/>
      <c r="D261" s="68">
        <v>50</v>
      </c>
      <c r="E261" s="70"/>
      <c r="F261" s="105" t="str">
        <f>HYPERLINK("https://yt3.ggpht.com/aDPITq95qYebYgoSy-JjqkYq5G_9_ZAJiltr0LVxwbwQDoLZOp07wSql2aIRIOOu77A3rgnKRg=s88-c-k-c0x00ffffff-no-rj")</f>
        <v>https://yt3.ggpht.com/aDPITq95qYebYgoSy-JjqkYq5G_9_ZAJiltr0LVxwbwQDoLZOp07wSql2aIRIOOu77A3rgnKRg=s88-c-k-c0x00ffffff-no-rj</v>
      </c>
      <c r="G261" s="67"/>
      <c r="H261" s="71" t="s">
        <v>2674</v>
      </c>
      <c r="I261" s="72"/>
      <c r="J261" s="72" t="s">
        <v>159</v>
      </c>
      <c r="K261" s="71" t="s">
        <v>2674</v>
      </c>
      <c r="L261" s="75">
        <v>1</v>
      </c>
      <c r="M261" s="76">
        <v>691.1008911132812</v>
      </c>
      <c r="N261" s="76">
        <v>5313.09033203125</v>
      </c>
      <c r="O261" s="77"/>
      <c r="P261" s="78"/>
      <c r="Q261" s="78"/>
      <c r="R261" s="90"/>
      <c r="S261" s="49">
        <v>0</v>
      </c>
      <c r="T261" s="49">
        <v>1</v>
      </c>
      <c r="U261" s="50">
        <v>0</v>
      </c>
      <c r="V261" s="50">
        <v>0.231785</v>
      </c>
      <c r="W261" s="51"/>
      <c r="X261" s="51"/>
      <c r="Y261" s="51"/>
      <c r="Z261" s="50"/>
      <c r="AA261" s="73">
        <v>261</v>
      </c>
      <c r="AB261" s="73"/>
      <c r="AC261" s="74"/>
      <c r="AD261" s="81" t="s">
        <v>2674</v>
      </c>
      <c r="AE261" s="81"/>
      <c r="AF261" s="81"/>
      <c r="AG261" s="81"/>
      <c r="AH261" s="81"/>
      <c r="AI261" s="81" t="s">
        <v>1910</v>
      </c>
      <c r="AJ261" s="88">
        <v>42986.75383101852</v>
      </c>
      <c r="AK261" s="86" t="str">
        <f>HYPERLINK("https://yt3.ggpht.com/aDPITq95qYebYgoSy-JjqkYq5G_9_ZAJiltr0LVxwbwQDoLZOp07wSql2aIRIOOu77A3rgnKRg=s88-c-k-c0x00ffffff-no-rj")</f>
        <v>https://yt3.ggpht.com/aDPITq95qYebYgoSy-JjqkYq5G_9_ZAJiltr0LVxwbwQDoLZOp07wSql2aIRIOOu77A3rgnKRg=s88-c-k-c0x00ffffff-no-rj</v>
      </c>
      <c r="AL261" s="81">
        <v>0</v>
      </c>
      <c r="AM261" s="81">
        <v>0</v>
      </c>
      <c r="AN261" s="81">
        <v>0</v>
      </c>
      <c r="AO261" s="81" t="b">
        <v>0</v>
      </c>
      <c r="AP261" s="81">
        <v>0</v>
      </c>
      <c r="AQ261" s="81"/>
      <c r="AR261" s="81"/>
      <c r="AS261" s="81" t="s">
        <v>3378</v>
      </c>
      <c r="AT261" s="86" t="str">
        <f>HYPERLINK("https://www.youtube.com/channel/UC9XCUftqMgJk69qOtBULM2g")</f>
        <v>https://www.youtube.com/channel/UC9XCUftqMgJk69qOtBULM2g</v>
      </c>
      <c r="AU261" s="81" t="str">
        <f>REPLACE(INDEX(GroupVertices[Group],MATCH("~"&amp;Vertices[[#This Row],[Vertex]],GroupVertices[Vertex],0)),1,1,"")</f>
        <v>1</v>
      </c>
      <c r="AV261" s="49"/>
      <c r="AW261" s="49"/>
      <c r="AX261" s="49"/>
      <c r="AY261" s="49"/>
      <c r="AZ261" s="49"/>
      <c r="BA261" s="49"/>
      <c r="BB261" s="117" t="s">
        <v>3916</v>
      </c>
      <c r="BC261" s="117" t="s">
        <v>3916</v>
      </c>
      <c r="BD261" s="117" t="s">
        <v>4611</v>
      </c>
      <c r="BE261" s="117" t="s">
        <v>4611</v>
      </c>
      <c r="BF261" s="2"/>
      <c r="BG261" s="3"/>
      <c r="BH261" s="3"/>
      <c r="BI261" s="3"/>
      <c r="BJ261" s="3"/>
    </row>
    <row r="262" spans="1:62" ht="15">
      <c r="A262" s="66" t="s">
        <v>445</v>
      </c>
      <c r="B262" s="67"/>
      <c r="C262" s="67"/>
      <c r="D262" s="68">
        <v>50</v>
      </c>
      <c r="E262" s="70"/>
      <c r="F262" s="105" t="str">
        <f>HYPERLINK("https://yt3.ggpht.com/ytc/AIf8zZThRSPQjC2qlXPXE4C-zhv5luXrBpTW4-R_yw=s88-c-k-c0x00ffffff-no-rj")</f>
        <v>https://yt3.ggpht.com/ytc/AIf8zZThRSPQjC2qlXPXE4C-zhv5luXrBpTW4-R_yw=s88-c-k-c0x00ffffff-no-rj</v>
      </c>
      <c r="G262" s="67"/>
      <c r="H262" s="71" t="s">
        <v>2676</v>
      </c>
      <c r="I262" s="72"/>
      <c r="J262" s="72" t="s">
        <v>159</v>
      </c>
      <c r="K262" s="71" t="s">
        <v>2676</v>
      </c>
      <c r="L262" s="75">
        <v>1</v>
      </c>
      <c r="M262" s="76">
        <v>697.3677368164062</v>
      </c>
      <c r="N262" s="76">
        <v>8214.404296875</v>
      </c>
      <c r="O262" s="77"/>
      <c r="P262" s="78"/>
      <c r="Q262" s="78"/>
      <c r="R262" s="90"/>
      <c r="S262" s="49">
        <v>0</v>
      </c>
      <c r="T262" s="49">
        <v>1</v>
      </c>
      <c r="U262" s="50">
        <v>0</v>
      </c>
      <c r="V262" s="50">
        <v>0.231785</v>
      </c>
      <c r="W262" s="51"/>
      <c r="X262" s="51"/>
      <c r="Y262" s="51"/>
      <c r="Z262" s="50"/>
      <c r="AA262" s="73">
        <v>262</v>
      </c>
      <c r="AB262" s="73"/>
      <c r="AC262" s="74"/>
      <c r="AD262" s="81" t="s">
        <v>2676</v>
      </c>
      <c r="AE262" s="81"/>
      <c r="AF262" s="81"/>
      <c r="AG262" s="81"/>
      <c r="AH262" s="81"/>
      <c r="AI262" s="81" t="s">
        <v>1911</v>
      </c>
      <c r="AJ262" s="88">
        <v>40904.3496875</v>
      </c>
      <c r="AK262" s="86" t="str">
        <f>HYPERLINK("https://yt3.ggpht.com/ytc/AIf8zZThRSPQjC2qlXPXE4C-zhv5luXrBpTW4-R_yw=s88-c-k-c0x00ffffff-no-rj")</f>
        <v>https://yt3.ggpht.com/ytc/AIf8zZThRSPQjC2qlXPXE4C-zhv5luXrBpTW4-R_yw=s88-c-k-c0x00ffffff-no-rj</v>
      </c>
      <c r="AL262" s="81">
        <v>0</v>
      </c>
      <c r="AM262" s="81">
        <v>0</v>
      </c>
      <c r="AN262" s="81">
        <v>1</v>
      </c>
      <c r="AO262" s="81" t="b">
        <v>0</v>
      </c>
      <c r="AP262" s="81">
        <v>0</v>
      </c>
      <c r="AQ262" s="81"/>
      <c r="AR262" s="81"/>
      <c r="AS262" s="81" t="s">
        <v>3378</v>
      </c>
      <c r="AT262" s="86" t="str">
        <f>HYPERLINK("https://www.youtube.com/channel/UCL9G7J-Xr2X6QMK0YULjCsg")</f>
        <v>https://www.youtube.com/channel/UCL9G7J-Xr2X6QMK0YULjCsg</v>
      </c>
      <c r="AU262" s="81" t="str">
        <f>REPLACE(INDEX(GroupVertices[Group],MATCH("~"&amp;Vertices[[#This Row],[Vertex]],GroupVertices[Vertex],0)),1,1,"")</f>
        <v>1</v>
      </c>
      <c r="AV262" s="49"/>
      <c r="AW262" s="49"/>
      <c r="AX262" s="49"/>
      <c r="AY262" s="49"/>
      <c r="AZ262" s="49"/>
      <c r="BA262" s="49"/>
      <c r="BB262" s="117" t="s">
        <v>3917</v>
      </c>
      <c r="BC262" s="117" t="s">
        <v>3917</v>
      </c>
      <c r="BD262" s="117" t="s">
        <v>4612</v>
      </c>
      <c r="BE262" s="117" t="s">
        <v>4612</v>
      </c>
      <c r="BF262" s="2"/>
      <c r="BG262" s="3"/>
      <c r="BH262" s="3"/>
      <c r="BI262" s="3"/>
      <c r="BJ262" s="3"/>
    </row>
    <row r="263" spans="1:62" ht="15">
      <c r="A263" s="66" t="s">
        <v>446</v>
      </c>
      <c r="B263" s="67"/>
      <c r="C263" s="67"/>
      <c r="D263" s="68">
        <v>50</v>
      </c>
      <c r="E263" s="70"/>
      <c r="F263" s="105" t="str">
        <f>HYPERLINK("https://yt3.ggpht.com/ytc/AIf8zZRx_CbAVhSPHEWBXYllcjHdrtS7AncF7TwLbA=s88-c-k-c0x00ffffff-no-rj")</f>
        <v>https://yt3.ggpht.com/ytc/AIf8zZRx_CbAVhSPHEWBXYllcjHdrtS7AncF7TwLbA=s88-c-k-c0x00ffffff-no-rj</v>
      </c>
      <c r="G263" s="67"/>
      <c r="H263" s="71" t="s">
        <v>2677</v>
      </c>
      <c r="I263" s="72"/>
      <c r="J263" s="72" t="s">
        <v>159</v>
      </c>
      <c r="K263" s="71" t="s">
        <v>2677</v>
      </c>
      <c r="L263" s="75">
        <v>1</v>
      </c>
      <c r="M263" s="76">
        <v>3457.45263671875</v>
      </c>
      <c r="N263" s="76">
        <v>5189.9794921875</v>
      </c>
      <c r="O263" s="77"/>
      <c r="P263" s="78"/>
      <c r="Q263" s="78"/>
      <c r="R263" s="90"/>
      <c r="S263" s="49">
        <v>0</v>
      </c>
      <c r="T263" s="49">
        <v>1</v>
      </c>
      <c r="U263" s="50">
        <v>0</v>
      </c>
      <c r="V263" s="50">
        <v>0.231785</v>
      </c>
      <c r="W263" s="51"/>
      <c r="X263" s="51"/>
      <c r="Y263" s="51"/>
      <c r="Z263" s="50"/>
      <c r="AA263" s="73">
        <v>263</v>
      </c>
      <c r="AB263" s="73"/>
      <c r="AC263" s="74"/>
      <c r="AD263" s="81" t="s">
        <v>2677</v>
      </c>
      <c r="AE263" s="81"/>
      <c r="AF263" s="81"/>
      <c r="AG263" s="81"/>
      <c r="AH263" s="81"/>
      <c r="AI263" s="81" t="s">
        <v>3285</v>
      </c>
      <c r="AJ263" s="88">
        <v>43224.375914351855</v>
      </c>
      <c r="AK263" s="86" t="str">
        <f>HYPERLINK("https://yt3.ggpht.com/ytc/AIf8zZRx_CbAVhSPHEWBXYllcjHdrtS7AncF7TwLbA=s88-c-k-c0x00ffffff-no-rj")</f>
        <v>https://yt3.ggpht.com/ytc/AIf8zZRx_CbAVhSPHEWBXYllcjHdrtS7AncF7TwLbA=s88-c-k-c0x00ffffff-no-rj</v>
      </c>
      <c r="AL263" s="81">
        <v>0</v>
      </c>
      <c r="AM263" s="81">
        <v>0</v>
      </c>
      <c r="AN263" s="81">
        <v>0</v>
      </c>
      <c r="AO263" s="81" t="b">
        <v>0</v>
      </c>
      <c r="AP263" s="81">
        <v>0</v>
      </c>
      <c r="AQ263" s="81"/>
      <c r="AR263" s="81"/>
      <c r="AS263" s="81" t="s">
        <v>3378</v>
      </c>
      <c r="AT263" s="86" t="str">
        <f>HYPERLINK("https://www.youtube.com/channel/UCEuS0hW9NUAFyd56mzqitkQ")</f>
        <v>https://www.youtube.com/channel/UCEuS0hW9NUAFyd56mzqitkQ</v>
      </c>
      <c r="AU263" s="81" t="str">
        <f>REPLACE(INDEX(GroupVertices[Group],MATCH("~"&amp;Vertices[[#This Row],[Vertex]],GroupVertices[Vertex],0)),1,1,"")</f>
        <v>1</v>
      </c>
      <c r="AV263" s="49"/>
      <c r="AW263" s="49"/>
      <c r="AX263" s="49"/>
      <c r="AY263" s="49"/>
      <c r="AZ263" s="49"/>
      <c r="BA263" s="49"/>
      <c r="BB263" s="117" t="s">
        <v>3918</v>
      </c>
      <c r="BC263" s="117" t="s">
        <v>3918</v>
      </c>
      <c r="BD263" s="117" t="s">
        <v>4613</v>
      </c>
      <c r="BE263" s="117" t="s">
        <v>4613</v>
      </c>
      <c r="BF263" s="2"/>
      <c r="BG263" s="3"/>
      <c r="BH263" s="3"/>
      <c r="BI263" s="3"/>
      <c r="BJ263" s="3"/>
    </row>
    <row r="264" spans="1:62" ht="15">
      <c r="A264" s="66" t="s">
        <v>447</v>
      </c>
      <c r="B264" s="67"/>
      <c r="C264" s="67"/>
      <c r="D264" s="68">
        <v>50</v>
      </c>
      <c r="E264" s="70"/>
      <c r="F264" s="105" t="str">
        <f>HYPERLINK("https://yt3.ggpht.com/ytc/AIf8zZQJYsBbXwcaM95WMwjIRyIHujywAx6V087jyA=s88-c-k-c0x00ffffff-no-rj")</f>
        <v>https://yt3.ggpht.com/ytc/AIf8zZQJYsBbXwcaM95WMwjIRyIHujywAx6V087jyA=s88-c-k-c0x00ffffff-no-rj</v>
      </c>
      <c r="G264" s="67"/>
      <c r="H264" s="71" t="s">
        <v>2678</v>
      </c>
      <c r="I264" s="72"/>
      <c r="J264" s="72" t="s">
        <v>159</v>
      </c>
      <c r="K264" s="71" t="s">
        <v>2678</v>
      </c>
      <c r="L264" s="75">
        <v>1</v>
      </c>
      <c r="M264" s="76">
        <v>864.0221557617188</v>
      </c>
      <c r="N264" s="76">
        <v>9169.7412109375</v>
      </c>
      <c r="O264" s="77"/>
      <c r="P264" s="78"/>
      <c r="Q264" s="78"/>
      <c r="R264" s="90"/>
      <c r="S264" s="49">
        <v>0</v>
      </c>
      <c r="T264" s="49">
        <v>1</v>
      </c>
      <c r="U264" s="50">
        <v>0</v>
      </c>
      <c r="V264" s="50">
        <v>0.231785</v>
      </c>
      <c r="W264" s="51"/>
      <c r="X264" s="51"/>
      <c r="Y264" s="51"/>
      <c r="Z264" s="50"/>
      <c r="AA264" s="73">
        <v>264</v>
      </c>
      <c r="AB264" s="73"/>
      <c r="AC264" s="74"/>
      <c r="AD264" s="81" t="s">
        <v>2678</v>
      </c>
      <c r="AE264" s="81"/>
      <c r="AF264" s="81"/>
      <c r="AG264" s="81"/>
      <c r="AH264" s="81"/>
      <c r="AI264" s="81" t="s">
        <v>1913</v>
      </c>
      <c r="AJ264" s="88">
        <v>40832.02197916667</v>
      </c>
      <c r="AK264" s="86" t="str">
        <f>HYPERLINK("https://yt3.ggpht.com/ytc/AIf8zZQJYsBbXwcaM95WMwjIRyIHujywAx6V087jyA=s88-c-k-c0x00ffffff-no-rj")</f>
        <v>https://yt3.ggpht.com/ytc/AIf8zZQJYsBbXwcaM95WMwjIRyIHujywAx6V087jyA=s88-c-k-c0x00ffffff-no-rj</v>
      </c>
      <c r="AL264" s="81">
        <v>0</v>
      </c>
      <c r="AM264" s="81">
        <v>0</v>
      </c>
      <c r="AN264" s="81">
        <v>0</v>
      </c>
      <c r="AO264" s="81" t="b">
        <v>0</v>
      </c>
      <c r="AP264" s="81">
        <v>0</v>
      </c>
      <c r="AQ264" s="81"/>
      <c r="AR264" s="81"/>
      <c r="AS264" s="81" t="s">
        <v>3378</v>
      </c>
      <c r="AT264" s="86" t="str">
        <f>HYPERLINK("https://www.youtube.com/channel/UCf1Yb5rIcR0fanMNmwH5RtA")</f>
        <v>https://www.youtube.com/channel/UCf1Yb5rIcR0fanMNmwH5RtA</v>
      </c>
      <c r="AU264" s="81" t="str">
        <f>REPLACE(INDEX(GroupVertices[Group],MATCH("~"&amp;Vertices[[#This Row],[Vertex]],GroupVertices[Vertex],0)),1,1,"")</f>
        <v>1</v>
      </c>
      <c r="AV264" s="49"/>
      <c r="AW264" s="49"/>
      <c r="AX264" s="49"/>
      <c r="AY264" s="49"/>
      <c r="AZ264" s="49"/>
      <c r="BA264" s="49"/>
      <c r="BB264" s="117" t="s">
        <v>3919</v>
      </c>
      <c r="BC264" s="117" t="s">
        <v>3919</v>
      </c>
      <c r="BD264" s="117" t="s">
        <v>4614</v>
      </c>
      <c r="BE264" s="117" t="s">
        <v>4614</v>
      </c>
      <c r="BF264" s="2"/>
      <c r="BG264" s="3"/>
      <c r="BH264" s="3"/>
      <c r="BI264" s="3"/>
      <c r="BJ264" s="3"/>
    </row>
    <row r="265" spans="1:62" ht="15">
      <c r="A265" s="66" t="s">
        <v>448</v>
      </c>
      <c r="B265" s="67"/>
      <c r="C265" s="67"/>
      <c r="D265" s="68">
        <v>50</v>
      </c>
      <c r="E265" s="70"/>
      <c r="F265" s="105" t="str">
        <f>HYPERLINK("https://yt3.ggpht.com/ytc/AIf8zZThiuhw2Qsv2-Pu_JJ6oQulbe9kn1G6CKTWhWHLpw=s88-c-k-c0x00ffffff-no-rj")</f>
        <v>https://yt3.ggpht.com/ytc/AIf8zZThiuhw2Qsv2-Pu_JJ6oQulbe9kn1G6CKTWhWHLpw=s88-c-k-c0x00ffffff-no-rj</v>
      </c>
      <c r="G265" s="67"/>
      <c r="H265" s="71" t="s">
        <v>2679</v>
      </c>
      <c r="I265" s="72"/>
      <c r="J265" s="72" t="s">
        <v>159</v>
      </c>
      <c r="K265" s="71" t="s">
        <v>2679</v>
      </c>
      <c r="L265" s="75">
        <v>1</v>
      </c>
      <c r="M265" s="76">
        <v>1151.4427490234375</v>
      </c>
      <c r="N265" s="76">
        <v>4351.447265625</v>
      </c>
      <c r="O265" s="77"/>
      <c r="P265" s="78"/>
      <c r="Q265" s="78"/>
      <c r="R265" s="90"/>
      <c r="S265" s="49">
        <v>0</v>
      </c>
      <c r="T265" s="49">
        <v>1</v>
      </c>
      <c r="U265" s="50">
        <v>0</v>
      </c>
      <c r="V265" s="50">
        <v>0.231785</v>
      </c>
      <c r="W265" s="51"/>
      <c r="X265" s="51"/>
      <c r="Y265" s="51"/>
      <c r="Z265" s="50"/>
      <c r="AA265" s="73">
        <v>265</v>
      </c>
      <c r="AB265" s="73"/>
      <c r="AC265" s="74"/>
      <c r="AD265" s="81" t="s">
        <v>2679</v>
      </c>
      <c r="AE265" s="81"/>
      <c r="AF265" s="81"/>
      <c r="AG265" s="81"/>
      <c r="AH265" s="81"/>
      <c r="AI265" s="81" t="s">
        <v>1914</v>
      </c>
      <c r="AJ265" s="88">
        <v>39848.16611111111</v>
      </c>
      <c r="AK265" s="86" t="str">
        <f>HYPERLINK("https://yt3.ggpht.com/ytc/AIf8zZThiuhw2Qsv2-Pu_JJ6oQulbe9kn1G6CKTWhWHLpw=s88-c-k-c0x00ffffff-no-rj")</f>
        <v>https://yt3.ggpht.com/ytc/AIf8zZThiuhw2Qsv2-Pu_JJ6oQulbe9kn1G6CKTWhWHLpw=s88-c-k-c0x00ffffff-no-rj</v>
      </c>
      <c r="AL265" s="81">
        <v>320</v>
      </c>
      <c r="AM265" s="81">
        <v>0</v>
      </c>
      <c r="AN265" s="81">
        <v>2</v>
      </c>
      <c r="AO265" s="81" t="b">
        <v>0</v>
      </c>
      <c r="AP265" s="81">
        <v>1</v>
      </c>
      <c r="AQ265" s="81"/>
      <c r="AR265" s="81"/>
      <c r="AS265" s="81" t="s">
        <v>3378</v>
      </c>
      <c r="AT265" s="86" t="str">
        <f>HYPERLINK("https://www.youtube.com/channel/UCcziyenE-E7YI0Mn6_QSnJw")</f>
        <v>https://www.youtube.com/channel/UCcziyenE-E7YI0Mn6_QSnJw</v>
      </c>
      <c r="AU265" s="81" t="str">
        <f>REPLACE(INDEX(GroupVertices[Group],MATCH("~"&amp;Vertices[[#This Row],[Vertex]],GroupVertices[Vertex],0)),1,1,"")</f>
        <v>1</v>
      </c>
      <c r="AV265" s="49"/>
      <c r="AW265" s="49"/>
      <c r="AX265" s="49"/>
      <c r="AY265" s="49"/>
      <c r="AZ265" s="49"/>
      <c r="BA265" s="49"/>
      <c r="BB265" s="117" t="s">
        <v>3920</v>
      </c>
      <c r="BC265" s="117" t="s">
        <v>3920</v>
      </c>
      <c r="BD265" s="117" t="s">
        <v>4615</v>
      </c>
      <c r="BE265" s="117" t="s">
        <v>4615</v>
      </c>
      <c r="BF265" s="2"/>
      <c r="BG265" s="3"/>
      <c r="BH265" s="3"/>
      <c r="BI265" s="3"/>
      <c r="BJ265" s="3"/>
    </row>
    <row r="266" spans="1:62" ht="15">
      <c r="A266" s="66" t="s">
        <v>449</v>
      </c>
      <c r="B266" s="67"/>
      <c r="C266" s="67"/>
      <c r="D266" s="68">
        <v>50</v>
      </c>
      <c r="E266" s="70"/>
      <c r="F266" s="105" t="str">
        <f>HYPERLINK("https://yt3.ggpht.com/ytc/AIf8zZRDu8oAzk_xPwItAPl42Ozbk2qE9cVTZosNRxg6=s88-c-k-c0x00ffffff-no-rj")</f>
        <v>https://yt3.ggpht.com/ytc/AIf8zZRDu8oAzk_xPwItAPl42Ozbk2qE9cVTZosNRxg6=s88-c-k-c0x00ffffff-no-rj</v>
      </c>
      <c r="G266" s="67"/>
      <c r="H266" s="71" t="s">
        <v>2680</v>
      </c>
      <c r="I266" s="72"/>
      <c r="J266" s="72" t="s">
        <v>159</v>
      </c>
      <c r="K266" s="71" t="s">
        <v>2680</v>
      </c>
      <c r="L266" s="75">
        <v>1</v>
      </c>
      <c r="M266" s="76">
        <v>106.14649963378906</v>
      </c>
      <c r="N266" s="76">
        <v>6544.853515625</v>
      </c>
      <c r="O266" s="77"/>
      <c r="P266" s="78"/>
      <c r="Q266" s="78"/>
      <c r="R266" s="90"/>
      <c r="S266" s="49">
        <v>0</v>
      </c>
      <c r="T266" s="49">
        <v>1</v>
      </c>
      <c r="U266" s="50">
        <v>0</v>
      </c>
      <c r="V266" s="50">
        <v>0.231785</v>
      </c>
      <c r="W266" s="51"/>
      <c r="X266" s="51"/>
      <c r="Y266" s="51"/>
      <c r="Z266" s="50"/>
      <c r="AA266" s="73">
        <v>266</v>
      </c>
      <c r="AB266" s="73"/>
      <c r="AC266" s="74"/>
      <c r="AD266" s="81" t="s">
        <v>2680</v>
      </c>
      <c r="AE266" s="81"/>
      <c r="AF266" s="81"/>
      <c r="AG266" s="81"/>
      <c r="AH266" s="81"/>
      <c r="AI266" s="81" t="s">
        <v>1915</v>
      </c>
      <c r="AJ266" s="88">
        <v>44287.832407407404</v>
      </c>
      <c r="AK266" s="86" t="str">
        <f>HYPERLINK("https://yt3.ggpht.com/ytc/AIf8zZRDu8oAzk_xPwItAPl42Ozbk2qE9cVTZosNRxg6=s88-c-k-c0x00ffffff-no-rj")</f>
        <v>https://yt3.ggpht.com/ytc/AIf8zZRDu8oAzk_xPwItAPl42Ozbk2qE9cVTZosNRxg6=s88-c-k-c0x00ffffff-no-rj</v>
      </c>
      <c r="AL266" s="81">
        <v>0</v>
      </c>
      <c r="AM266" s="81">
        <v>0</v>
      </c>
      <c r="AN266" s="81">
        <v>0</v>
      </c>
      <c r="AO266" s="81" t="b">
        <v>0</v>
      </c>
      <c r="AP266" s="81">
        <v>0</v>
      </c>
      <c r="AQ266" s="81"/>
      <c r="AR266" s="81"/>
      <c r="AS266" s="81" t="s">
        <v>3378</v>
      </c>
      <c r="AT266" s="86" t="str">
        <f>HYPERLINK("https://www.youtube.com/channel/UCOrBUm6zH-0AX1QgC6lwAdg")</f>
        <v>https://www.youtube.com/channel/UCOrBUm6zH-0AX1QgC6lwAdg</v>
      </c>
      <c r="AU266" s="81" t="str">
        <f>REPLACE(INDEX(GroupVertices[Group],MATCH("~"&amp;Vertices[[#This Row],[Vertex]],GroupVertices[Vertex],0)),1,1,"")</f>
        <v>1</v>
      </c>
      <c r="AV266" s="49"/>
      <c r="AW266" s="49"/>
      <c r="AX266" s="49"/>
      <c r="AY266" s="49"/>
      <c r="AZ266" s="49"/>
      <c r="BA266" s="49"/>
      <c r="BB266" s="117" t="s">
        <v>3921</v>
      </c>
      <c r="BC266" s="117" t="s">
        <v>3921</v>
      </c>
      <c r="BD266" s="117" t="s">
        <v>4616</v>
      </c>
      <c r="BE266" s="117" t="s">
        <v>4616</v>
      </c>
      <c r="BF266" s="2"/>
      <c r="BG266" s="3"/>
      <c r="BH266" s="3"/>
      <c r="BI266" s="3"/>
      <c r="BJ266" s="3"/>
    </row>
    <row r="267" spans="1:62" ht="15">
      <c r="A267" s="66" t="s">
        <v>450</v>
      </c>
      <c r="B267" s="67"/>
      <c r="C267" s="67"/>
      <c r="D267" s="68">
        <v>50</v>
      </c>
      <c r="E267" s="70"/>
      <c r="F267" s="105" t="str">
        <f>HYPERLINK("https://yt3.ggpht.com/ytc/AIf8zZQ7T97Qu0dqyGhRegr8t2pV6Rq0KaV42vwAaQw_ew=s88-c-k-c0x00ffffff-no-rj")</f>
        <v>https://yt3.ggpht.com/ytc/AIf8zZQ7T97Qu0dqyGhRegr8t2pV6Rq0KaV42vwAaQw_ew=s88-c-k-c0x00ffffff-no-rj</v>
      </c>
      <c r="G267" s="67"/>
      <c r="H267" s="71" t="s">
        <v>2681</v>
      </c>
      <c r="I267" s="72"/>
      <c r="J267" s="72" t="s">
        <v>159</v>
      </c>
      <c r="K267" s="71" t="s">
        <v>2681</v>
      </c>
      <c r="L267" s="75">
        <v>1</v>
      </c>
      <c r="M267" s="76">
        <v>2991.56103515625</v>
      </c>
      <c r="N267" s="76">
        <v>4902.07666015625</v>
      </c>
      <c r="O267" s="77"/>
      <c r="P267" s="78"/>
      <c r="Q267" s="78"/>
      <c r="R267" s="90"/>
      <c r="S267" s="49">
        <v>0</v>
      </c>
      <c r="T267" s="49">
        <v>1</v>
      </c>
      <c r="U267" s="50">
        <v>0</v>
      </c>
      <c r="V267" s="50">
        <v>0.231785</v>
      </c>
      <c r="W267" s="51"/>
      <c r="X267" s="51"/>
      <c r="Y267" s="51"/>
      <c r="Z267" s="50"/>
      <c r="AA267" s="73">
        <v>267</v>
      </c>
      <c r="AB267" s="73"/>
      <c r="AC267" s="74"/>
      <c r="AD267" s="81" t="s">
        <v>2681</v>
      </c>
      <c r="AE267" s="81"/>
      <c r="AF267" s="81"/>
      <c r="AG267" s="81"/>
      <c r="AH267" s="81"/>
      <c r="AI267" s="81" t="s">
        <v>1916</v>
      </c>
      <c r="AJ267" s="88">
        <v>41525.157488425924</v>
      </c>
      <c r="AK267" s="86" t="str">
        <f>HYPERLINK("https://yt3.ggpht.com/ytc/AIf8zZQ7T97Qu0dqyGhRegr8t2pV6Rq0KaV42vwAaQw_ew=s88-c-k-c0x00ffffff-no-rj")</f>
        <v>https://yt3.ggpht.com/ytc/AIf8zZQ7T97Qu0dqyGhRegr8t2pV6Rq0KaV42vwAaQw_ew=s88-c-k-c0x00ffffff-no-rj</v>
      </c>
      <c r="AL267" s="81">
        <v>0</v>
      </c>
      <c r="AM267" s="81">
        <v>0</v>
      </c>
      <c r="AN267" s="81">
        <v>0</v>
      </c>
      <c r="AO267" s="81" t="b">
        <v>0</v>
      </c>
      <c r="AP267" s="81">
        <v>0</v>
      </c>
      <c r="AQ267" s="81"/>
      <c r="AR267" s="81"/>
      <c r="AS267" s="81" t="s">
        <v>3378</v>
      </c>
      <c r="AT267" s="86" t="str">
        <f>HYPERLINK("https://www.youtube.com/channel/UC_oL0ca7jZDGrFdUbndisyA")</f>
        <v>https://www.youtube.com/channel/UC_oL0ca7jZDGrFdUbndisyA</v>
      </c>
      <c r="AU267" s="81" t="str">
        <f>REPLACE(INDEX(GroupVertices[Group],MATCH("~"&amp;Vertices[[#This Row],[Vertex]],GroupVertices[Vertex],0)),1,1,"")</f>
        <v>1</v>
      </c>
      <c r="AV267" s="49"/>
      <c r="AW267" s="49"/>
      <c r="AX267" s="49"/>
      <c r="AY267" s="49"/>
      <c r="AZ267" s="49"/>
      <c r="BA267" s="49"/>
      <c r="BB267" s="117" t="s">
        <v>3922</v>
      </c>
      <c r="BC267" s="117" t="s">
        <v>3922</v>
      </c>
      <c r="BD267" s="117" t="s">
        <v>4617</v>
      </c>
      <c r="BE267" s="117" t="s">
        <v>4617</v>
      </c>
      <c r="BF267" s="2"/>
      <c r="BG267" s="3"/>
      <c r="BH267" s="3"/>
      <c r="BI267" s="3"/>
      <c r="BJ267" s="3"/>
    </row>
    <row r="268" spans="1:62" ht="15">
      <c r="A268" s="66" t="s">
        <v>451</v>
      </c>
      <c r="B268" s="67"/>
      <c r="C268" s="67"/>
      <c r="D268" s="68">
        <v>50</v>
      </c>
      <c r="E268" s="70"/>
      <c r="F268" s="105" t="str">
        <f>HYPERLINK("https://yt3.ggpht.com/ytc/AIf8zZTPocEE-nRU7XnM73UNXI1mjs2ZQT3tM34ddOyghg=s88-c-k-c0x00ffffff-no-rj")</f>
        <v>https://yt3.ggpht.com/ytc/AIf8zZTPocEE-nRU7XnM73UNXI1mjs2ZQT3tM34ddOyghg=s88-c-k-c0x00ffffff-no-rj</v>
      </c>
      <c r="G268" s="67"/>
      <c r="H268" s="71" t="s">
        <v>2682</v>
      </c>
      <c r="I268" s="72"/>
      <c r="J268" s="72" t="s">
        <v>159</v>
      </c>
      <c r="K268" s="71" t="s">
        <v>2682</v>
      </c>
      <c r="L268" s="75">
        <v>1</v>
      </c>
      <c r="M268" s="76">
        <v>2989.732421875</v>
      </c>
      <c r="N268" s="76">
        <v>7771.779296875</v>
      </c>
      <c r="O268" s="77"/>
      <c r="P268" s="78"/>
      <c r="Q268" s="78"/>
      <c r="R268" s="90"/>
      <c r="S268" s="49">
        <v>0</v>
      </c>
      <c r="T268" s="49">
        <v>1</v>
      </c>
      <c r="U268" s="50">
        <v>0</v>
      </c>
      <c r="V268" s="50">
        <v>0.231785</v>
      </c>
      <c r="W268" s="51"/>
      <c r="X268" s="51"/>
      <c r="Y268" s="51"/>
      <c r="Z268" s="50"/>
      <c r="AA268" s="73">
        <v>268</v>
      </c>
      <c r="AB268" s="73"/>
      <c r="AC268" s="74"/>
      <c r="AD268" s="81" t="s">
        <v>2682</v>
      </c>
      <c r="AE268" s="81"/>
      <c r="AF268" s="81"/>
      <c r="AG268" s="81"/>
      <c r="AH268" s="81"/>
      <c r="AI268" s="81" t="s">
        <v>1917</v>
      </c>
      <c r="AJ268" s="88">
        <v>41543.040625</v>
      </c>
      <c r="AK268" s="86" t="str">
        <f>HYPERLINK("https://yt3.ggpht.com/ytc/AIf8zZTPocEE-nRU7XnM73UNXI1mjs2ZQT3tM34ddOyghg=s88-c-k-c0x00ffffff-no-rj")</f>
        <v>https://yt3.ggpht.com/ytc/AIf8zZTPocEE-nRU7XnM73UNXI1mjs2ZQT3tM34ddOyghg=s88-c-k-c0x00ffffff-no-rj</v>
      </c>
      <c r="AL268" s="81">
        <v>0</v>
      </c>
      <c r="AM268" s="81">
        <v>0</v>
      </c>
      <c r="AN268" s="81">
        <v>1</v>
      </c>
      <c r="AO268" s="81" t="b">
        <v>0</v>
      </c>
      <c r="AP268" s="81">
        <v>0</v>
      </c>
      <c r="AQ268" s="81"/>
      <c r="AR268" s="81"/>
      <c r="AS268" s="81" t="s">
        <v>3378</v>
      </c>
      <c r="AT268" s="86" t="str">
        <f>HYPERLINK("https://www.youtube.com/channel/UCcjOxopu8ykErJYnUrFmjUA")</f>
        <v>https://www.youtube.com/channel/UCcjOxopu8ykErJYnUrFmjUA</v>
      </c>
      <c r="AU268" s="81" t="str">
        <f>REPLACE(INDEX(GroupVertices[Group],MATCH("~"&amp;Vertices[[#This Row],[Vertex]],GroupVertices[Vertex],0)),1,1,"")</f>
        <v>1</v>
      </c>
      <c r="AV268" s="49"/>
      <c r="AW268" s="49"/>
      <c r="AX268" s="49"/>
      <c r="AY268" s="49"/>
      <c r="AZ268" s="49"/>
      <c r="BA268" s="49"/>
      <c r="BB268" s="117" t="s">
        <v>3923</v>
      </c>
      <c r="BC268" s="117" t="s">
        <v>3923</v>
      </c>
      <c r="BD268" s="117" t="s">
        <v>4618</v>
      </c>
      <c r="BE268" s="117" t="s">
        <v>4618</v>
      </c>
      <c r="BF268" s="2"/>
      <c r="BG268" s="3"/>
      <c r="BH268" s="3"/>
      <c r="BI268" s="3"/>
      <c r="BJ268" s="3"/>
    </row>
    <row r="269" spans="1:62" ht="15">
      <c r="A269" s="66" t="s">
        <v>452</v>
      </c>
      <c r="B269" s="67"/>
      <c r="C269" s="67"/>
      <c r="D269" s="68">
        <v>50</v>
      </c>
      <c r="E269" s="70"/>
      <c r="F269" s="105" t="str">
        <f>HYPERLINK("https://yt3.ggpht.com/ytc/AIf8zZTtUQH0FCubQR3ziMDxX7CzzjXPMVCIMAmMwv5q_ts=s88-c-k-c0x00ffffff-no-rj")</f>
        <v>https://yt3.ggpht.com/ytc/AIf8zZTtUQH0FCubQR3ziMDxX7CzzjXPMVCIMAmMwv5q_ts=s88-c-k-c0x00ffffff-no-rj</v>
      </c>
      <c r="G269" s="67"/>
      <c r="H269" s="71" t="s">
        <v>2683</v>
      </c>
      <c r="I269" s="72"/>
      <c r="J269" s="72" t="s">
        <v>159</v>
      </c>
      <c r="K269" s="71" t="s">
        <v>2683</v>
      </c>
      <c r="L269" s="75">
        <v>1</v>
      </c>
      <c r="M269" s="76">
        <v>835.8927001953125</v>
      </c>
      <c r="N269" s="76">
        <v>4435.1455078125</v>
      </c>
      <c r="O269" s="77"/>
      <c r="P269" s="78"/>
      <c r="Q269" s="78"/>
      <c r="R269" s="90"/>
      <c r="S269" s="49">
        <v>0</v>
      </c>
      <c r="T269" s="49">
        <v>1</v>
      </c>
      <c r="U269" s="50">
        <v>0</v>
      </c>
      <c r="V269" s="50">
        <v>0.231785</v>
      </c>
      <c r="W269" s="51"/>
      <c r="X269" s="51"/>
      <c r="Y269" s="51"/>
      <c r="Z269" s="50"/>
      <c r="AA269" s="73">
        <v>269</v>
      </c>
      <c r="AB269" s="73"/>
      <c r="AC269" s="74"/>
      <c r="AD269" s="81" t="s">
        <v>2683</v>
      </c>
      <c r="AE269" s="81"/>
      <c r="AF269" s="81"/>
      <c r="AG269" s="81"/>
      <c r="AH269" s="81"/>
      <c r="AI269" s="81" t="s">
        <v>3286</v>
      </c>
      <c r="AJ269" s="88">
        <v>41612.78394675926</v>
      </c>
      <c r="AK269" s="86" t="str">
        <f>HYPERLINK("https://yt3.ggpht.com/ytc/AIf8zZTtUQH0FCubQR3ziMDxX7CzzjXPMVCIMAmMwv5q_ts=s88-c-k-c0x00ffffff-no-rj")</f>
        <v>https://yt3.ggpht.com/ytc/AIf8zZTtUQH0FCubQR3ziMDxX7CzzjXPMVCIMAmMwv5q_ts=s88-c-k-c0x00ffffff-no-rj</v>
      </c>
      <c r="AL269" s="81">
        <v>0</v>
      </c>
      <c r="AM269" s="81">
        <v>0</v>
      </c>
      <c r="AN269" s="81">
        <v>0</v>
      </c>
      <c r="AO269" s="81" t="b">
        <v>0</v>
      </c>
      <c r="AP269" s="81">
        <v>0</v>
      </c>
      <c r="AQ269" s="81"/>
      <c r="AR269" s="81"/>
      <c r="AS269" s="81" t="s">
        <v>3378</v>
      </c>
      <c r="AT269" s="86" t="str">
        <f>HYPERLINK("https://www.youtube.com/channel/UClmdKz5v-aiZ4nqvnJf1V6A")</f>
        <v>https://www.youtube.com/channel/UClmdKz5v-aiZ4nqvnJf1V6A</v>
      </c>
      <c r="AU269" s="81" t="str">
        <f>REPLACE(INDEX(GroupVertices[Group],MATCH("~"&amp;Vertices[[#This Row],[Vertex]],GroupVertices[Vertex],0)),1,1,"")</f>
        <v>1</v>
      </c>
      <c r="AV269" s="49"/>
      <c r="AW269" s="49"/>
      <c r="AX269" s="49"/>
      <c r="AY269" s="49"/>
      <c r="AZ269" s="49"/>
      <c r="BA269" s="49"/>
      <c r="BB269" s="117" t="s">
        <v>3924</v>
      </c>
      <c r="BC269" s="117" t="s">
        <v>3924</v>
      </c>
      <c r="BD269" s="117" t="s">
        <v>4619</v>
      </c>
      <c r="BE269" s="117" t="s">
        <v>4619</v>
      </c>
      <c r="BF269" s="2"/>
      <c r="BG269" s="3"/>
      <c r="BH269" s="3"/>
      <c r="BI269" s="3"/>
      <c r="BJ269" s="3"/>
    </row>
    <row r="270" spans="1:62" ht="15">
      <c r="A270" s="66" t="s">
        <v>453</v>
      </c>
      <c r="B270" s="67"/>
      <c r="C270" s="67"/>
      <c r="D270" s="68">
        <v>50</v>
      </c>
      <c r="E270" s="70"/>
      <c r="F270" s="105" t="str">
        <f>HYPERLINK("https://yt3.ggpht.com/ytc/AIf8zZQ2Iom_mXeJ4k_3P3rxVTQIR-nDwIcpZWUpDNGp=s88-c-k-c0x00ffffff-no-rj")</f>
        <v>https://yt3.ggpht.com/ytc/AIf8zZQ2Iom_mXeJ4k_3P3rxVTQIR-nDwIcpZWUpDNGp=s88-c-k-c0x00ffffff-no-rj</v>
      </c>
      <c r="G270" s="67"/>
      <c r="H270" s="71" t="s">
        <v>2684</v>
      </c>
      <c r="I270" s="72"/>
      <c r="J270" s="72" t="s">
        <v>159</v>
      </c>
      <c r="K270" s="71" t="s">
        <v>2684</v>
      </c>
      <c r="L270" s="75">
        <v>1</v>
      </c>
      <c r="M270" s="76">
        <v>951.9500732421875</v>
      </c>
      <c r="N270" s="76">
        <v>8704.3935546875</v>
      </c>
      <c r="O270" s="77"/>
      <c r="P270" s="78"/>
      <c r="Q270" s="78"/>
      <c r="R270" s="90"/>
      <c r="S270" s="49">
        <v>0</v>
      </c>
      <c r="T270" s="49">
        <v>1</v>
      </c>
      <c r="U270" s="50">
        <v>0</v>
      </c>
      <c r="V270" s="50">
        <v>0.231785</v>
      </c>
      <c r="W270" s="51"/>
      <c r="X270" s="51"/>
      <c r="Y270" s="51"/>
      <c r="Z270" s="50"/>
      <c r="AA270" s="73">
        <v>270</v>
      </c>
      <c r="AB270" s="73"/>
      <c r="AC270" s="74"/>
      <c r="AD270" s="81" t="s">
        <v>2684</v>
      </c>
      <c r="AE270" s="81" t="s">
        <v>3167</v>
      </c>
      <c r="AF270" s="81"/>
      <c r="AG270" s="81"/>
      <c r="AH270" s="81"/>
      <c r="AI270" s="81" t="s">
        <v>3287</v>
      </c>
      <c r="AJ270" s="88">
        <v>40721.38061342593</v>
      </c>
      <c r="AK270" s="86" t="str">
        <f>HYPERLINK("https://yt3.ggpht.com/ytc/AIf8zZQ2Iom_mXeJ4k_3P3rxVTQIR-nDwIcpZWUpDNGp=s88-c-k-c0x00ffffff-no-rj")</f>
        <v>https://yt3.ggpht.com/ytc/AIf8zZQ2Iom_mXeJ4k_3P3rxVTQIR-nDwIcpZWUpDNGp=s88-c-k-c0x00ffffff-no-rj</v>
      </c>
      <c r="AL270" s="81">
        <v>0</v>
      </c>
      <c r="AM270" s="81">
        <v>0</v>
      </c>
      <c r="AN270" s="81">
        <v>3</v>
      </c>
      <c r="AO270" s="81" t="b">
        <v>0</v>
      </c>
      <c r="AP270" s="81">
        <v>0</v>
      </c>
      <c r="AQ270" s="81"/>
      <c r="AR270" s="81"/>
      <c r="AS270" s="81" t="s">
        <v>3378</v>
      </c>
      <c r="AT270" s="86" t="str">
        <f>HYPERLINK("https://www.youtube.com/channel/UCLUBNN-zJRU52Uec6_hXp-w")</f>
        <v>https://www.youtube.com/channel/UCLUBNN-zJRU52Uec6_hXp-w</v>
      </c>
      <c r="AU270" s="81" t="str">
        <f>REPLACE(INDEX(GroupVertices[Group],MATCH("~"&amp;Vertices[[#This Row],[Vertex]],GroupVertices[Vertex],0)),1,1,"")</f>
        <v>1</v>
      </c>
      <c r="AV270" s="49"/>
      <c r="AW270" s="49"/>
      <c r="AX270" s="49"/>
      <c r="AY270" s="49"/>
      <c r="AZ270" s="49"/>
      <c r="BA270" s="49"/>
      <c r="BB270" s="117" t="s">
        <v>3925</v>
      </c>
      <c r="BC270" s="117" t="s">
        <v>3925</v>
      </c>
      <c r="BD270" s="117" t="s">
        <v>2423</v>
      </c>
      <c r="BE270" s="117" t="s">
        <v>2423</v>
      </c>
      <c r="BF270" s="2"/>
      <c r="BG270" s="3"/>
      <c r="BH270" s="3"/>
      <c r="BI270" s="3"/>
      <c r="BJ270" s="3"/>
    </row>
    <row r="271" spans="1:62" ht="15">
      <c r="A271" s="66" t="s">
        <v>454</v>
      </c>
      <c r="B271" s="67"/>
      <c r="C271" s="67"/>
      <c r="D271" s="68">
        <v>50</v>
      </c>
      <c r="E271" s="70"/>
      <c r="F271" s="105" t="str">
        <f>HYPERLINK("https://yt3.ggpht.com/ytc/AIf8zZQnFE2USGc1JjAYkbkI3TWfhNqcy_kf_xvJ41W3zQ=s88-c-k-c0x00ffffff-no-rj")</f>
        <v>https://yt3.ggpht.com/ytc/AIf8zZQnFE2USGc1JjAYkbkI3TWfhNqcy_kf_xvJ41W3zQ=s88-c-k-c0x00ffffff-no-rj</v>
      </c>
      <c r="G271" s="67"/>
      <c r="H271" s="71" t="s">
        <v>2685</v>
      </c>
      <c r="I271" s="72"/>
      <c r="J271" s="72" t="s">
        <v>159</v>
      </c>
      <c r="K271" s="71" t="s">
        <v>2685</v>
      </c>
      <c r="L271" s="75">
        <v>1</v>
      </c>
      <c r="M271" s="76">
        <v>3573.917724609375</v>
      </c>
      <c r="N271" s="76">
        <v>7659.3310546875</v>
      </c>
      <c r="O271" s="77"/>
      <c r="P271" s="78"/>
      <c r="Q271" s="78"/>
      <c r="R271" s="90"/>
      <c r="S271" s="49">
        <v>0</v>
      </c>
      <c r="T271" s="49">
        <v>1</v>
      </c>
      <c r="U271" s="50">
        <v>0</v>
      </c>
      <c r="V271" s="50">
        <v>0.231785</v>
      </c>
      <c r="W271" s="51"/>
      <c r="X271" s="51"/>
      <c r="Y271" s="51"/>
      <c r="Z271" s="50"/>
      <c r="AA271" s="73">
        <v>271</v>
      </c>
      <c r="AB271" s="73"/>
      <c r="AC271" s="74"/>
      <c r="AD271" s="81" t="s">
        <v>2685</v>
      </c>
      <c r="AE271" s="81"/>
      <c r="AF271" s="81"/>
      <c r="AG271" s="81"/>
      <c r="AH271" s="81"/>
      <c r="AI271" s="81" t="s">
        <v>1920</v>
      </c>
      <c r="AJ271" s="88">
        <v>40829.8437037037</v>
      </c>
      <c r="AK271" s="86" t="str">
        <f>HYPERLINK("https://yt3.ggpht.com/ytc/AIf8zZQnFE2USGc1JjAYkbkI3TWfhNqcy_kf_xvJ41W3zQ=s88-c-k-c0x00ffffff-no-rj")</f>
        <v>https://yt3.ggpht.com/ytc/AIf8zZQnFE2USGc1JjAYkbkI3TWfhNqcy_kf_xvJ41W3zQ=s88-c-k-c0x00ffffff-no-rj</v>
      </c>
      <c r="AL271" s="81">
        <v>2016</v>
      </c>
      <c r="AM271" s="81">
        <v>0</v>
      </c>
      <c r="AN271" s="81">
        <v>8</v>
      </c>
      <c r="AO271" s="81" t="b">
        <v>0</v>
      </c>
      <c r="AP271" s="81">
        <v>9</v>
      </c>
      <c r="AQ271" s="81"/>
      <c r="AR271" s="81"/>
      <c r="AS271" s="81" t="s">
        <v>3378</v>
      </c>
      <c r="AT271" s="86" t="str">
        <f>HYPERLINK("https://www.youtube.com/channel/UCMNRtO8vaoNgqJu6ETMoUrQ")</f>
        <v>https://www.youtube.com/channel/UCMNRtO8vaoNgqJu6ETMoUrQ</v>
      </c>
      <c r="AU271" s="81" t="str">
        <f>REPLACE(INDEX(GroupVertices[Group],MATCH("~"&amp;Vertices[[#This Row],[Vertex]],GroupVertices[Vertex],0)),1,1,"")</f>
        <v>1</v>
      </c>
      <c r="AV271" s="49"/>
      <c r="AW271" s="49"/>
      <c r="AX271" s="49"/>
      <c r="AY271" s="49"/>
      <c r="AZ271" s="49"/>
      <c r="BA271" s="49"/>
      <c r="BB271" s="117" t="s">
        <v>3926</v>
      </c>
      <c r="BC271" s="117" t="s">
        <v>3926</v>
      </c>
      <c r="BD271" s="117" t="s">
        <v>4620</v>
      </c>
      <c r="BE271" s="117" t="s">
        <v>4620</v>
      </c>
      <c r="BF271" s="2"/>
      <c r="BG271" s="3"/>
      <c r="BH271" s="3"/>
      <c r="BI271" s="3"/>
      <c r="BJ271" s="3"/>
    </row>
    <row r="272" spans="1:62" ht="15">
      <c r="A272" s="66" t="s">
        <v>455</v>
      </c>
      <c r="B272" s="67"/>
      <c r="C272" s="67"/>
      <c r="D272" s="68">
        <v>50</v>
      </c>
      <c r="E272" s="70"/>
      <c r="F272" s="105" t="str">
        <f>HYPERLINK("https://yt3.ggpht.com/ytc/AIf8zZTl8Ef3HwNPAy7FNdWJF-t6o5rYjEgEZXWh3w=s88-c-k-c0x00ffffff-no-rj")</f>
        <v>https://yt3.ggpht.com/ytc/AIf8zZTl8Ef3HwNPAy7FNdWJF-t6o5rYjEgEZXWh3w=s88-c-k-c0x00ffffff-no-rj</v>
      </c>
      <c r="G272" s="67"/>
      <c r="H272" s="71" t="s">
        <v>2686</v>
      </c>
      <c r="I272" s="72"/>
      <c r="J272" s="72" t="s">
        <v>159</v>
      </c>
      <c r="K272" s="71" t="s">
        <v>2686</v>
      </c>
      <c r="L272" s="75">
        <v>1</v>
      </c>
      <c r="M272" s="76">
        <v>2102.043212890625</v>
      </c>
      <c r="N272" s="76">
        <v>6571.12744140625</v>
      </c>
      <c r="O272" s="77"/>
      <c r="P272" s="78"/>
      <c r="Q272" s="78"/>
      <c r="R272" s="90"/>
      <c r="S272" s="49">
        <v>0</v>
      </c>
      <c r="T272" s="49">
        <v>1</v>
      </c>
      <c r="U272" s="50">
        <v>0</v>
      </c>
      <c r="V272" s="50">
        <v>0.231785</v>
      </c>
      <c r="W272" s="51"/>
      <c r="X272" s="51"/>
      <c r="Y272" s="51"/>
      <c r="Z272" s="50"/>
      <c r="AA272" s="73">
        <v>272</v>
      </c>
      <c r="AB272" s="73"/>
      <c r="AC272" s="74"/>
      <c r="AD272" s="81" t="s">
        <v>2686</v>
      </c>
      <c r="AE272" s="81"/>
      <c r="AF272" s="81"/>
      <c r="AG272" s="81"/>
      <c r="AH272" s="81"/>
      <c r="AI272" s="81" t="s">
        <v>1921</v>
      </c>
      <c r="AJ272" s="88">
        <v>43929.059907407405</v>
      </c>
      <c r="AK272" s="86" t="str">
        <f>HYPERLINK("https://yt3.ggpht.com/ytc/AIf8zZTl8Ef3HwNPAy7FNdWJF-t6o5rYjEgEZXWh3w=s88-c-k-c0x00ffffff-no-rj")</f>
        <v>https://yt3.ggpht.com/ytc/AIf8zZTl8Ef3HwNPAy7FNdWJF-t6o5rYjEgEZXWh3w=s88-c-k-c0x00ffffff-no-rj</v>
      </c>
      <c r="AL272" s="81">
        <v>0</v>
      </c>
      <c r="AM272" s="81">
        <v>0</v>
      </c>
      <c r="AN272" s="81">
        <v>0</v>
      </c>
      <c r="AO272" s="81" t="b">
        <v>0</v>
      </c>
      <c r="AP272" s="81">
        <v>0</v>
      </c>
      <c r="AQ272" s="81"/>
      <c r="AR272" s="81"/>
      <c r="AS272" s="81" t="s">
        <v>3378</v>
      </c>
      <c r="AT272" s="86" t="str">
        <f>HYPERLINK("https://www.youtube.com/channel/UCLqxp6vnqiXFNFEvXFdFGVg")</f>
        <v>https://www.youtube.com/channel/UCLqxp6vnqiXFNFEvXFdFGVg</v>
      </c>
      <c r="AU272" s="81" t="str">
        <f>REPLACE(INDEX(GroupVertices[Group],MATCH("~"&amp;Vertices[[#This Row],[Vertex]],GroupVertices[Vertex],0)),1,1,"")</f>
        <v>1</v>
      </c>
      <c r="AV272" s="49" t="s">
        <v>3454</v>
      </c>
      <c r="AW272" s="49" t="s">
        <v>3454</v>
      </c>
      <c r="AX272" s="49" t="s">
        <v>2414</v>
      </c>
      <c r="AY272" s="49" t="s">
        <v>2414</v>
      </c>
      <c r="AZ272" s="49"/>
      <c r="BA272" s="49"/>
      <c r="BB272" s="117" t="s">
        <v>3927</v>
      </c>
      <c r="BC272" s="117" t="s">
        <v>3927</v>
      </c>
      <c r="BD272" s="117" t="s">
        <v>4621</v>
      </c>
      <c r="BE272" s="117" t="s">
        <v>4621</v>
      </c>
      <c r="BF272" s="2"/>
      <c r="BG272" s="3"/>
      <c r="BH272" s="3"/>
      <c r="BI272" s="3"/>
      <c r="BJ272" s="3"/>
    </row>
    <row r="273" spans="1:62" ht="15">
      <c r="A273" s="66" t="s">
        <v>456</v>
      </c>
      <c r="B273" s="67"/>
      <c r="C273" s="67"/>
      <c r="D273" s="68">
        <v>50</v>
      </c>
      <c r="E273" s="70"/>
      <c r="F273" s="105" t="str">
        <f>HYPERLINK("https://yt3.ggpht.com/NWeNmWOW9tW7K_-6r6XS-fVgg4uKxinVxTVx_4FM8oB2vyzSHhzhWz3GRcAR9V7PcV-xggbQ9w=s88-c-k-c0x00ffffff-no-rj")</f>
        <v>https://yt3.ggpht.com/NWeNmWOW9tW7K_-6r6XS-fVgg4uKxinVxTVx_4FM8oB2vyzSHhzhWz3GRcAR9V7PcV-xggbQ9w=s88-c-k-c0x00ffffff-no-rj</v>
      </c>
      <c r="G273" s="67"/>
      <c r="H273" s="71" t="s">
        <v>2687</v>
      </c>
      <c r="I273" s="72"/>
      <c r="J273" s="72" t="s">
        <v>159</v>
      </c>
      <c r="K273" s="71" t="s">
        <v>2687</v>
      </c>
      <c r="L273" s="75">
        <v>1</v>
      </c>
      <c r="M273" s="76">
        <v>2428.3193359375</v>
      </c>
      <c r="N273" s="76">
        <v>5261.3212890625</v>
      </c>
      <c r="O273" s="77"/>
      <c r="P273" s="78"/>
      <c r="Q273" s="78"/>
      <c r="R273" s="90"/>
      <c r="S273" s="49">
        <v>0</v>
      </c>
      <c r="T273" s="49">
        <v>1</v>
      </c>
      <c r="U273" s="50">
        <v>0</v>
      </c>
      <c r="V273" s="50">
        <v>0.231785</v>
      </c>
      <c r="W273" s="51"/>
      <c r="X273" s="51"/>
      <c r="Y273" s="51"/>
      <c r="Z273" s="50"/>
      <c r="AA273" s="73">
        <v>273</v>
      </c>
      <c r="AB273" s="73"/>
      <c r="AC273" s="74"/>
      <c r="AD273" s="81" t="s">
        <v>2687</v>
      </c>
      <c r="AE273" s="81"/>
      <c r="AF273" s="81"/>
      <c r="AG273" s="81"/>
      <c r="AH273" s="81"/>
      <c r="AI273" s="81" t="s">
        <v>1922</v>
      </c>
      <c r="AJ273" s="88">
        <v>44745.00806712963</v>
      </c>
      <c r="AK273" s="86" t="str">
        <f>HYPERLINK("https://yt3.ggpht.com/NWeNmWOW9tW7K_-6r6XS-fVgg4uKxinVxTVx_4FM8oB2vyzSHhzhWz3GRcAR9V7PcV-xggbQ9w=s88-c-k-c0x00ffffff-no-rj")</f>
        <v>https://yt3.ggpht.com/NWeNmWOW9tW7K_-6r6XS-fVgg4uKxinVxTVx_4FM8oB2vyzSHhzhWz3GRcAR9V7PcV-xggbQ9w=s88-c-k-c0x00ffffff-no-rj</v>
      </c>
      <c r="AL273" s="81">
        <v>954</v>
      </c>
      <c r="AM273" s="81">
        <v>0</v>
      </c>
      <c r="AN273" s="81">
        <v>6</v>
      </c>
      <c r="AO273" s="81" t="b">
        <v>0</v>
      </c>
      <c r="AP273" s="81">
        <v>8</v>
      </c>
      <c r="AQ273" s="81"/>
      <c r="AR273" s="81"/>
      <c r="AS273" s="81" t="s">
        <v>3378</v>
      </c>
      <c r="AT273" s="86" t="str">
        <f>HYPERLINK("https://www.youtube.com/channel/UCFe6_9G-HOwKoyHtvrdC4JQ")</f>
        <v>https://www.youtube.com/channel/UCFe6_9G-HOwKoyHtvrdC4JQ</v>
      </c>
      <c r="AU273" s="81" t="str">
        <f>REPLACE(INDEX(GroupVertices[Group],MATCH("~"&amp;Vertices[[#This Row],[Vertex]],GroupVertices[Vertex],0)),1,1,"")</f>
        <v>1</v>
      </c>
      <c r="AV273" s="49"/>
      <c r="AW273" s="49"/>
      <c r="AX273" s="49"/>
      <c r="AY273" s="49"/>
      <c r="AZ273" s="49"/>
      <c r="BA273" s="49"/>
      <c r="BB273" s="117" t="s">
        <v>3928</v>
      </c>
      <c r="BC273" s="117" t="s">
        <v>3928</v>
      </c>
      <c r="BD273" s="117" t="s">
        <v>4622</v>
      </c>
      <c r="BE273" s="117" t="s">
        <v>4622</v>
      </c>
      <c r="BF273" s="2"/>
      <c r="BG273" s="3"/>
      <c r="BH273" s="3"/>
      <c r="BI273" s="3"/>
      <c r="BJ273" s="3"/>
    </row>
    <row r="274" spans="1:62" ht="15">
      <c r="A274" s="66" t="s">
        <v>457</v>
      </c>
      <c r="B274" s="67"/>
      <c r="C274" s="67"/>
      <c r="D274" s="68">
        <v>50</v>
      </c>
      <c r="E274" s="70"/>
      <c r="F274" s="105" t="str">
        <f>HYPERLINK("https://yt3.ggpht.com/ytc/AIf8zZTGdZiVtUf5thsq9smh7WX26F09yZ_T1VWf7yYlIA=s88-c-k-c0x00ffffff-no-rj")</f>
        <v>https://yt3.ggpht.com/ytc/AIf8zZTGdZiVtUf5thsq9smh7WX26F09yZ_T1VWf7yYlIA=s88-c-k-c0x00ffffff-no-rj</v>
      </c>
      <c r="G274" s="67"/>
      <c r="H274" s="71" t="s">
        <v>2688</v>
      </c>
      <c r="I274" s="72"/>
      <c r="J274" s="72" t="s">
        <v>159</v>
      </c>
      <c r="K274" s="71" t="s">
        <v>2688</v>
      </c>
      <c r="L274" s="75">
        <v>1</v>
      </c>
      <c r="M274" s="76">
        <v>2949.611572265625</v>
      </c>
      <c r="N274" s="76">
        <v>7178.81396484375</v>
      </c>
      <c r="O274" s="77"/>
      <c r="P274" s="78"/>
      <c r="Q274" s="78"/>
      <c r="R274" s="90"/>
      <c r="S274" s="49">
        <v>0</v>
      </c>
      <c r="T274" s="49">
        <v>1</v>
      </c>
      <c r="U274" s="50">
        <v>0</v>
      </c>
      <c r="V274" s="50">
        <v>0.231785</v>
      </c>
      <c r="W274" s="51"/>
      <c r="X274" s="51"/>
      <c r="Y274" s="51"/>
      <c r="Z274" s="50"/>
      <c r="AA274" s="73">
        <v>274</v>
      </c>
      <c r="AB274" s="73"/>
      <c r="AC274" s="74"/>
      <c r="AD274" s="81" t="s">
        <v>2688</v>
      </c>
      <c r="AE274" s="81"/>
      <c r="AF274" s="81"/>
      <c r="AG274" s="81"/>
      <c r="AH274" s="81"/>
      <c r="AI274" s="81" t="s">
        <v>1923</v>
      </c>
      <c r="AJ274" s="88">
        <v>40161.945555555554</v>
      </c>
      <c r="AK274" s="86" t="str">
        <f>HYPERLINK("https://yt3.ggpht.com/ytc/AIf8zZTGdZiVtUf5thsq9smh7WX26F09yZ_T1VWf7yYlIA=s88-c-k-c0x00ffffff-no-rj")</f>
        <v>https://yt3.ggpht.com/ytc/AIf8zZTGdZiVtUf5thsq9smh7WX26F09yZ_T1VWf7yYlIA=s88-c-k-c0x00ffffff-no-rj</v>
      </c>
      <c r="AL274" s="81">
        <v>0</v>
      </c>
      <c r="AM274" s="81">
        <v>0</v>
      </c>
      <c r="AN274" s="81">
        <v>6</v>
      </c>
      <c r="AO274" s="81" t="b">
        <v>0</v>
      </c>
      <c r="AP274" s="81">
        <v>0</v>
      </c>
      <c r="AQ274" s="81"/>
      <c r="AR274" s="81"/>
      <c r="AS274" s="81" t="s">
        <v>3378</v>
      </c>
      <c r="AT274" s="86" t="str">
        <f>HYPERLINK("https://www.youtube.com/channel/UCu055IQpqIPWAVkzROrgSxQ")</f>
        <v>https://www.youtube.com/channel/UCu055IQpqIPWAVkzROrgSxQ</v>
      </c>
      <c r="AU274" s="81" t="str">
        <f>REPLACE(INDEX(GroupVertices[Group],MATCH("~"&amp;Vertices[[#This Row],[Vertex]],GroupVertices[Vertex],0)),1,1,"")</f>
        <v>1</v>
      </c>
      <c r="AV274" s="49"/>
      <c r="AW274" s="49"/>
      <c r="AX274" s="49"/>
      <c r="AY274" s="49"/>
      <c r="AZ274" s="49"/>
      <c r="BA274" s="49"/>
      <c r="BB274" s="117" t="s">
        <v>3929</v>
      </c>
      <c r="BC274" s="117" t="s">
        <v>3929</v>
      </c>
      <c r="BD274" s="117" t="s">
        <v>4623</v>
      </c>
      <c r="BE274" s="117" t="s">
        <v>4623</v>
      </c>
      <c r="BF274" s="2"/>
      <c r="BG274" s="3"/>
      <c r="BH274" s="3"/>
      <c r="BI274" s="3"/>
      <c r="BJ274" s="3"/>
    </row>
    <row r="275" spans="1:62" ht="15">
      <c r="A275" s="66" t="s">
        <v>459</v>
      </c>
      <c r="B275" s="67"/>
      <c r="C275" s="67"/>
      <c r="D275" s="68">
        <v>50</v>
      </c>
      <c r="E275" s="70"/>
      <c r="F275" s="105" t="str">
        <f>HYPERLINK("https://yt3.ggpht.com/ytc/AIf8zZRxmd6olQ9tDcMRzbzDVrCQSTSqIIPgEkgnmXXY=s88-c-k-c0x00ffffff-no-rj")</f>
        <v>https://yt3.ggpht.com/ytc/AIf8zZRxmd6olQ9tDcMRzbzDVrCQSTSqIIPgEkgnmXXY=s88-c-k-c0x00ffffff-no-rj</v>
      </c>
      <c r="G275" s="67"/>
      <c r="H275" s="71" t="s">
        <v>2690</v>
      </c>
      <c r="I275" s="72"/>
      <c r="J275" s="72" t="s">
        <v>159</v>
      </c>
      <c r="K275" s="71" t="s">
        <v>2690</v>
      </c>
      <c r="L275" s="75">
        <v>1</v>
      </c>
      <c r="M275" s="76">
        <v>2086.88818359375</v>
      </c>
      <c r="N275" s="76">
        <v>8814.8818359375</v>
      </c>
      <c r="O275" s="77"/>
      <c r="P275" s="78"/>
      <c r="Q275" s="78"/>
      <c r="R275" s="90"/>
      <c r="S275" s="49">
        <v>0</v>
      </c>
      <c r="T275" s="49">
        <v>1</v>
      </c>
      <c r="U275" s="50">
        <v>0</v>
      </c>
      <c r="V275" s="50">
        <v>0.231785</v>
      </c>
      <c r="W275" s="51"/>
      <c r="X275" s="51"/>
      <c r="Y275" s="51"/>
      <c r="Z275" s="50"/>
      <c r="AA275" s="73">
        <v>275</v>
      </c>
      <c r="AB275" s="73"/>
      <c r="AC275" s="74"/>
      <c r="AD275" s="81" t="s">
        <v>2690</v>
      </c>
      <c r="AE275" s="81"/>
      <c r="AF275" s="81"/>
      <c r="AG275" s="81"/>
      <c r="AH275" s="81"/>
      <c r="AI275" s="81" t="s">
        <v>3288</v>
      </c>
      <c r="AJ275" s="88">
        <v>39007.16002314815</v>
      </c>
      <c r="AK275" s="86" t="str">
        <f>HYPERLINK("https://yt3.ggpht.com/ytc/AIf8zZRxmd6olQ9tDcMRzbzDVrCQSTSqIIPgEkgnmXXY=s88-c-k-c0x00ffffff-no-rj")</f>
        <v>https://yt3.ggpht.com/ytc/AIf8zZRxmd6olQ9tDcMRzbzDVrCQSTSqIIPgEkgnmXXY=s88-c-k-c0x00ffffff-no-rj</v>
      </c>
      <c r="AL275" s="81">
        <v>143953</v>
      </c>
      <c r="AM275" s="81">
        <v>0</v>
      </c>
      <c r="AN275" s="81">
        <v>50</v>
      </c>
      <c r="AO275" s="81" t="b">
        <v>0</v>
      </c>
      <c r="AP275" s="81">
        <v>235</v>
      </c>
      <c r="AQ275" s="81"/>
      <c r="AR275" s="81"/>
      <c r="AS275" s="81" t="s">
        <v>3378</v>
      </c>
      <c r="AT275" s="86" t="str">
        <f>HYPERLINK("https://www.youtube.com/channel/UC3rRjSPT2ADF8Bx3SFTUn_g")</f>
        <v>https://www.youtube.com/channel/UC3rRjSPT2ADF8Bx3SFTUn_g</v>
      </c>
      <c r="AU275" s="81" t="str">
        <f>REPLACE(INDEX(GroupVertices[Group],MATCH("~"&amp;Vertices[[#This Row],[Vertex]],GroupVertices[Vertex],0)),1,1,"")</f>
        <v>1</v>
      </c>
      <c r="AV275" s="49"/>
      <c r="AW275" s="49"/>
      <c r="AX275" s="49"/>
      <c r="AY275" s="49"/>
      <c r="AZ275" s="49"/>
      <c r="BA275" s="49"/>
      <c r="BB275" s="117" t="s">
        <v>3931</v>
      </c>
      <c r="BC275" s="117" t="s">
        <v>3931</v>
      </c>
      <c r="BD275" s="117" t="s">
        <v>4625</v>
      </c>
      <c r="BE275" s="117" t="s">
        <v>4625</v>
      </c>
      <c r="BF275" s="2"/>
      <c r="BG275" s="3"/>
      <c r="BH275" s="3"/>
      <c r="BI275" s="3"/>
      <c r="BJ275" s="3"/>
    </row>
    <row r="276" spans="1:62" ht="15">
      <c r="A276" s="66" t="s">
        <v>460</v>
      </c>
      <c r="B276" s="67"/>
      <c r="C276" s="67"/>
      <c r="D276" s="68">
        <v>50</v>
      </c>
      <c r="E276" s="70"/>
      <c r="F276" s="105" t="str">
        <f>HYPERLINK("https://yt3.ggpht.com/ytc/AIf8zZTyG08lX40H8I2cC50AidL8Zdknnmu2Av6dBw=s88-c-k-c0x00ffffff-no-rj")</f>
        <v>https://yt3.ggpht.com/ytc/AIf8zZTyG08lX40H8I2cC50AidL8Zdknnmu2Av6dBw=s88-c-k-c0x00ffffff-no-rj</v>
      </c>
      <c r="G276" s="67"/>
      <c r="H276" s="71" t="s">
        <v>2691</v>
      </c>
      <c r="I276" s="72"/>
      <c r="J276" s="72" t="s">
        <v>159</v>
      </c>
      <c r="K276" s="71" t="s">
        <v>2691</v>
      </c>
      <c r="L276" s="75">
        <v>1</v>
      </c>
      <c r="M276" s="76">
        <v>1490.3477783203125</v>
      </c>
      <c r="N276" s="76">
        <v>9101.5673828125</v>
      </c>
      <c r="O276" s="77"/>
      <c r="P276" s="78"/>
      <c r="Q276" s="78"/>
      <c r="R276" s="90"/>
      <c r="S276" s="49">
        <v>0</v>
      </c>
      <c r="T276" s="49">
        <v>1</v>
      </c>
      <c r="U276" s="50">
        <v>0</v>
      </c>
      <c r="V276" s="50">
        <v>0.231785</v>
      </c>
      <c r="W276" s="51"/>
      <c r="X276" s="51"/>
      <c r="Y276" s="51"/>
      <c r="Z276" s="50"/>
      <c r="AA276" s="73">
        <v>276</v>
      </c>
      <c r="AB276" s="73"/>
      <c r="AC276" s="74"/>
      <c r="AD276" s="81" t="s">
        <v>2691</v>
      </c>
      <c r="AE276" s="81"/>
      <c r="AF276" s="81"/>
      <c r="AG276" s="81"/>
      <c r="AH276" s="81"/>
      <c r="AI276" s="81" t="s">
        <v>1926</v>
      </c>
      <c r="AJ276" s="88">
        <v>44270.53680555556</v>
      </c>
      <c r="AK276" s="86" t="str">
        <f>HYPERLINK("https://yt3.ggpht.com/ytc/AIf8zZTyG08lX40H8I2cC50AidL8Zdknnmu2Av6dBw=s88-c-k-c0x00ffffff-no-rj")</f>
        <v>https://yt3.ggpht.com/ytc/AIf8zZTyG08lX40H8I2cC50AidL8Zdknnmu2Av6dBw=s88-c-k-c0x00ffffff-no-rj</v>
      </c>
      <c r="AL276" s="81">
        <v>0</v>
      </c>
      <c r="AM276" s="81">
        <v>0</v>
      </c>
      <c r="AN276" s="81">
        <v>0</v>
      </c>
      <c r="AO276" s="81" t="b">
        <v>0</v>
      </c>
      <c r="AP276" s="81">
        <v>0</v>
      </c>
      <c r="AQ276" s="81"/>
      <c r="AR276" s="81"/>
      <c r="AS276" s="81" t="s">
        <v>3378</v>
      </c>
      <c r="AT276" s="86" t="str">
        <f>HYPERLINK("https://www.youtube.com/channel/UCrU-NwoCg6tVtSiPy3Gy6qw")</f>
        <v>https://www.youtube.com/channel/UCrU-NwoCg6tVtSiPy3Gy6qw</v>
      </c>
      <c r="AU276" s="81" t="str">
        <f>REPLACE(INDEX(GroupVertices[Group],MATCH("~"&amp;Vertices[[#This Row],[Vertex]],GroupVertices[Vertex],0)),1,1,"")</f>
        <v>1</v>
      </c>
      <c r="AV276" s="49"/>
      <c r="AW276" s="49"/>
      <c r="AX276" s="49"/>
      <c r="AY276" s="49"/>
      <c r="AZ276" s="49"/>
      <c r="BA276" s="49"/>
      <c r="BB276" s="117" t="s">
        <v>3932</v>
      </c>
      <c r="BC276" s="117" t="s">
        <v>3932</v>
      </c>
      <c r="BD276" s="117" t="s">
        <v>4626</v>
      </c>
      <c r="BE276" s="117" t="s">
        <v>4626</v>
      </c>
      <c r="BF276" s="2"/>
      <c r="BG276" s="3"/>
      <c r="BH276" s="3"/>
      <c r="BI276" s="3"/>
      <c r="BJ276" s="3"/>
    </row>
    <row r="277" spans="1:62" ht="15">
      <c r="A277" s="66" t="s">
        <v>461</v>
      </c>
      <c r="B277" s="67"/>
      <c r="C277" s="67"/>
      <c r="D277" s="68">
        <v>50</v>
      </c>
      <c r="E277" s="70"/>
      <c r="F277" s="105" t="str">
        <f>HYPERLINK("https://yt3.ggpht.com/ytc/AIf8zZQs0XM9eeHsA0psUAH3ORfyjh2ptGR1fLK9Bw=s88-c-k-c0x00ffffff-no-rj")</f>
        <v>https://yt3.ggpht.com/ytc/AIf8zZQs0XM9eeHsA0psUAH3ORfyjh2ptGR1fLK9Bw=s88-c-k-c0x00ffffff-no-rj</v>
      </c>
      <c r="G277" s="67"/>
      <c r="H277" s="71" t="s">
        <v>2692</v>
      </c>
      <c r="I277" s="72"/>
      <c r="J277" s="72" t="s">
        <v>159</v>
      </c>
      <c r="K277" s="71" t="s">
        <v>2692</v>
      </c>
      <c r="L277" s="75">
        <v>1</v>
      </c>
      <c r="M277" s="76">
        <v>3473.717529296875</v>
      </c>
      <c r="N277" s="76">
        <v>6629.90234375</v>
      </c>
      <c r="O277" s="77"/>
      <c r="P277" s="78"/>
      <c r="Q277" s="78"/>
      <c r="R277" s="90"/>
      <c r="S277" s="49">
        <v>0</v>
      </c>
      <c r="T277" s="49">
        <v>1</v>
      </c>
      <c r="U277" s="50">
        <v>0</v>
      </c>
      <c r="V277" s="50">
        <v>0.231785</v>
      </c>
      <c r="W277" s="51"/>
      <c r="X277" s="51"/>
      <c r="Y277" s="51"/>
      <c r="Z277" s="50"/>
      <c r="AA277" s="73">
        <v>277</v>
      </c>
      <c r="AB277" s="73"/>
      <c r="AC277" s="74"/>
      <c r="AD277" s="81" t="s">
        <v>2692</v>
      </c>
      <c r="AE277" s="81"/>
      <c r="AF277" s="81"/>
      <c r="AG277" s="81"/>
      <c r="AH277" s="81"/>
      <c r="AI277" s="81" t="s">
        <v>1927</v>
      </c>
      <c r="AJ277" s="88">
        <v>44333.04584490741</v>
      </c>
      <c r="AK277" s="86" t="str">
        <f>HYPERLINK("https://yt3.ggpht.com/ytc/AIf8zZQs0XM9eeHsA0psUAH3ORfyjh2ptGR1fLK9Bw=s88-c-k-c0x00ffffff-no-rj")</f>
        <v>https://yt3.ggpht.com/ytc/AIf8zZQs0XM9eeHsA0psUAH3ORfyjh2ptGR1fLK9Bw=s88-c-k-c0x00ffffff-no-rj</v>
      </c>
      <c r="AL277" s="81">
        <v>0</v>
      </c>
      <c r="AM277" s="81">
        <v>0</v>
      </c>
      <c r="AN277" s="81">
        <v>0</v>
      </c>
      <c r="AO277" s="81" t="b">
        <v>0</v>
      </c>
      <c r="AP277" s="81">
        <v>0</v>
      </c>
      <c r="AQ277" s="81"/>
      <c r="AR277" s="81"/>
      <c r="AS277" s="81" t="s">
        <v>3378</v>
      </c>
      <c r="AT277" s="86" t="str">
        <f>HYPERLINK("https://www.youtube.com/channel/UCpAT3e9GjLNAhpuuwzkJiFw")</f>
        <v>https://www.youtube.com/channel/UCpAT3e9GjLNAhpuuwzkJiFw</v>
      </c>
      <c r="AU277" s="81" t="str">
        <f>REPLACE(INDEX(GroupVertices[Group],MATCH("~"&amp;Vertices[[#This Row],[Vertex]],GroupVertices[Vertex],0)),1,1,"")</f>
        <v>1</v>
      </c>
      <c r="AV277" s="49"/>
      <c r="AW277" s="49"/>
      <c r="AX277" s="49"/>
      <c r="AY277" s="49"/>
      <c r="AZ277" s="49"/>
      <c r="BA277" s="49"/>
      <c r="BB277" s="117" t="s">
        <v>3933</v>
      </c>
      <c r="BC277" s="117" t="s">
        <v>4362</v>
      </c>
      <c r="BD277" s="117" t="s">
        <v>4627</v>
      </c>
      <c r="BE277" s="117" t="s">
        <v>4627</v>
      </c>
      <c r="BF277" s="2"/>
      <c r="BG277" s="3"/>
      <c r="BH277" s="3"/>
      <c r="BI277" s="3"/>
      <c r="BJ277" s="3"/>
    </row>
    <row r="278" spans="1:62" ht="15">
      <c r="A278" s="66" t="s">
        <v>462</v>
      </c>
      <c r="B278" s="67"/>
      <c r="C278" s="67"/>
      <c r="D278" s="68">
        <v>50</v>
      </c>
      <c r="E278" s="70"/>
      <c r="F278" s="105" t="str">
        <f>HYPERLINK("https://yt3.ggpht.com/ytc/AIf8zZSOHbU9A6eZIF6zMPPDWL9RbTmK4V1hOWUo96GBcQ=s88-c-k-c0x00ffffff-no-rj")</f>
        <v>https://yt3.ggpht.com/ytc/AIf8zZSOHbU9A6eZIF6zMPPDWL9RbTmK4V1hOWUo96GBcQ=s88-c-k-c0x00ffffff-no-rj</v>
      </c>
      <c r="G278" s="67"/>
      <c r="H278" s="71" t="s">
        <v>2693</v>
      </c>
      <c r="I278" s="72"/>
      <c r="J278" s="72" t="s">
        <v>159</v>
      </c>
      <c r="K278" s="71" t="s">
        <v>2693</v>
      </c>
      <c r="L278" s="75">
        <v>1</v>
      </c>
      <c r="M278" s="76">
        <v>1395.591796875</v>
      </c>
      <c r="N278" s="76">
        <v>7840.166015625</v>
      </c>
      <c r="O278" s="77"/>
      <c r="P278" s="78"/>
      <c r="Q278" s="78"/>
      <c r="R278" s="90"/>
      <c r="S278" s="49">
        <v>0</v>
      </c>
      <c r="T278" s="49">
        <v>1</v>
      </c>
      <c r="U278" s="50">
        <v>0</v>
      </c>
      <c r="V278" s="50">
        <v>0.231785</v>
      </c>
      <c r="W278" s="51"/>
      <c r="X278" s="51"/>
      <c r="Y278" s="51"/>
      <c r="Z278" s="50"/>
      <c r="AA278" s="73">
        <v>278</v>
      </c>
      <c r="AB278" s="73"/>
      <c r="AC278" s="74"/>
      <c r="AD278" s="81" t="s">
        <v>2693</v>
      </c>
      <c r="AE278" s="81"/>
      <c r="AF278" s="81"/>
      <c r="AG278" s="81"/>
      <c r="AH278" s="81"/>
      <c r="AI278" s="81" t="s">
        <v>1928</v>
      </c>
      <c r="AJ278" s="88">
        <v>40831.287199074075</v>
      </c>
      <c r="AK278" s="86" t="str">
        <f>HYPERLINK("https://yt3.ggpht.com/ytc/AIf8zZSOHbU9A6eZIF6zMPPDWL9RbTmK4V1hOWUo96GBcQ=s88-c-k-c0x00ffffff-no-rj")</f>
        <v>https://yt3.ggpht.com/ytc/AIf8zZSOHbU9A6eZIF6zMPPDWL9RbTmK4V1hOWUo96GBcQ=s88-c-k-c0x00ffffff-no-rj</v>
      </c>
      <c r="AL278" s="81">
        <v>0</v>
      </c>
      <c r="AM278" s="81">
        <v>0</v>
      </c>
      <c r="AN278" s="81">
        <v>0</v>
      </c>
      <c r="AO278" s="81" t="b">
        <v>0</v>
      </c>
      <c r="AP278" s="81">
        <v>0</v>
      </c>
      <c r="AQ278" s="81"/>
      <c r="AR278" s="81"/>
      <c r="AS278" s="81" t="s">
        <v>3378</v>
      </c>
      <c r="AT278" s="86" t="str">
        <f>HYPERLINK("https://www.youtube.com/channel/UCQfZ0OSP-6TpL8HYmRX7tdQ")</f>
        <v>https://www.youtube.com/channel/UCQfZ0OSP-6TpL8HYmRX7tdQ</v>
      </c>
      <c r="AU278" s="81" t="str">
        <f>REPLACE(INDEX(GroupVertices[Group],MATCH("~"&amp;Vertices[[#This Row],[Vertex]],GroupVertices[Vertex],0)),1,1,"")</f>
        <v>1</v>
      </c>
      <c r="AV278" s="49"/>
      <c r="AW278" s="49"/>
      <c r="AX278" s="49"/>
      <c r="AY278" s="49"/>
      <c r="AZ278" s="49"/>
      <c r="BA278" s="49"/>
      <c r="BB278" s="117" t="s">
        <v>3934</v>
      </c>
      <c r="BC278" s="117" t="s">
        <v>3934</v>
      </c>
      <c r="BD278" s="117" t="s">
        <v>4628</v>
      </c>
      <c r="BE278" s="117" t="s">
        <v>4628</v>
      </c>
      <c r="BF278" s="2"/>
      <c r="BG278" s="3"/>
      <c r="BH278" s="3"/>
      <c r="BI278" s="3"/>
      <c r="BJ278" s="3"/>
    </row>
    <row r="279" spans="1:62" ht="15">
      <c r="A279" s="66" t="s">
        <v>463</v>
      </c>
      <c r="B279" s="67"/>
      <c r="C279" s="67"/>
      <c r="D279" s="68">
        <v>50</v>
      </c>
      <c r="E279" s="70"/>
      <c r="F279" s="105" t="str">
        <f>HYPERLINK("https://yt3.ggpht.com/ytc/AIf8zZQnVSF_dHrmaC7IQFG5-T4CAIVymbhPVVCVMA=s88-c-k-c0x00ffffff-no-rj")</f>
        <v>https://yt3.ggpht.com/ytc/AIf8zZQnVSF_dHrmaC7IQFG5-T4CAIVymbhPVVCVMA=s88-c-k-c0x00ffffff-no-rj</v>
      </c>
      <c r="G279" s="67"/>
      <c r="H279" s="71" t="s">
        <v>2694</v>
      </c>
      <c r="I279" s="72"/>
      <c r="J279" s="72" t="s">
        <v>159</v>
      </c>
      <c r="K279" s="71" t="s">
        <v>2694</v>
      </c>
      <c r="L279" s="75">
        <v>1</v>
      </c>
      <c r="M279" s="76">
        <v>2030.079345703125</v>
      </c>
      <c r="N279" s="76">
        <v>9104.728515625</v>
      </c>
      <c r="O279" s="77"/>
      <c r="P279" s="78"/>
      <c r="Q279" s="78"/>
      <c r="R279" s="90"/>
      <c r="S279" s="49">
        <v>0</v>
      </c>
      <c r="T279" s="49">
        <v>1</v>
      </c>
      <c r="U279" s="50">
        <v>0</v>
      </c>
      <c r="V279" s="50">
        <v>0.231785</v>
      </c>
      <c r="W279" s="51"/>
      <c r="X279" s="51"/>
      <c r="Y279" s="51"/>
      <c r="Z279" s="50"/>
      <c r="AA279" s="73">
        <v>279</v>
      </c>
      <c r="AB279" s="73"/>
      <c r="AC279" s="74"/>
      <c r="AD279" s="81" t="s">
        <v>2694</v>
      </c>
      <c r="AE279" s="81"/>
      <c r="AF279" s="81"/>
      <c r="AG279" s="81"/>
      <c r="AH279" s="81"/>
      <c r="AI279" s="81" t="s">
        <v>1929</v>
      </c>
      <c r="AJ279" s="88">
        <v>41596.76219907407</v>
      </c>
      <c r="AK279" s="86" t="str">
        <f>HYPERLINK("https://yt3.ggpht.com/ytc/AIf8zZQnVSF_dHrmaC7IQFG5-T4CAIVymbhPVVCVMA=s88-c-k-c0x00ffffff-no-rj")</f>
        <v>https://yt3.ggpht.com/ytc/AIf8zZQnVSF_dHrmaC7IQFG5-T4CAIVymbhPVVCVMA=s88-c-k-c0x00ffffff-no-rj</v>
      </c>
      <c r="AL279" s="81">
        <v>0</v>
      </c>
      <c r="AM279" s="81">
        <v>0</v>
      </c>
      <c r="AN279" s="81">
        <v>0</v>
      </c>
      <c r="AO279" s="81" t="b">
        <v>0</v>
      </c>
      <c r="AP279" s="81">
        <v>0</v>
      </c>
      <c r="AQ279" s="81"/>
      <c r="AR279" s="81"/>
      <c r="AS279" s="81" t="s">
        <v>3378</v>
      </c>
      <c r="AT279" s="86" t="str">
        <f>HYPERLINK("https://www.youtube.com/channel/UCL_dbeUghdqme-ayvKz4o1A")</f>
        <v>https://www.youtube.com/channel/UCL_dbeUghdqme-ayvKz4o1A</v>
      </c>
      <c r="AU279" s="81" t="str">
        <f>REPLACE(INDEX(GroupVertices[Group],MATCH("~"&amp;Vertices[[#This Row],[Vertex]],GroupVertices[Vertex],0)),1,1,"")</f>
        <v>1</v>
      </c>
      <c r="AV279" s="49"/>
      <c r="AW279" s="49"/>
      <c r="AX279" s="49"/>
      <c r="AY279" s="49"/>
      <c r="AZ279" s="49"/>
      <c r="BA279" s="49"/>
      <c r="BB279" s="117" t="s">
        <v>3935</v>
      </c>
      <c r="BC279" s="117" t="s">
        <v>3935</v>
      </c>
      <c r="BD279" s="117" t="s">
        <v>4629</v>
      </c>
      <c r="BE279" s="117" t="s">
        <v>4629</v>
      </c>
      <c r="BF279" s="2"/>
      <c r="BG279" s="3"/>
      <c r="BH279" s="3"/>
      <c r="BI279" s="3"/>
      <c r="BJ279" s="3"/>
    </row>
    <row r="280" spans="1:62" ht="15">
      <c r="A280" s="66" t="s">
        <v>464</v>
      </c>
      <c r="B280" s="67"/>
      <c r="C280" s="67"/>
      <c r="D280" s="68">
        <v>50</v>
      </c>
      <c r="E280" s="70"/>
      <c r="F280" s="105" t="str">
        <f>HYPERLINK("https://yt3.ggpht.com/ytc/AIf8zZQbW4s74uP851_KfGXgZwhD9O2v8MwSNGFfu3hoxz43qQHUAmr5wtbVwaVgaaRd=s88-c-k-c0x00ffffff-no-rj")</f>
        <v>https://yt3.ggpht.com/ytc/AIf8zZQbW4s74uP851_KfGXgZwhD9O2v8MwSNGFfu3hoxz43qQHUAmr5wtbVwaVgaaRd=s88-c-k-c0x00ffffff-no-rj</v>
      </c>
      <c r="G280" s="67"/>
      <c r="H280" s="71" t="s">
        <v>2695</v>
      </c>
      <c r="I280" s="72"/>
      <c r="J280" s="72" t="s">
        <v>159</v>
      </c>
      <c r="K280" s="71" t="s">
        <v>2695</v>
      </c>
      <c r="L280" s="75">
        <v>1</v>
      </c>
      <c r="M280" s="76">
        <v>2585.485595703125</v>
      </c>
      <c r="N280" s="76">
        <v>8562.89453125</v>
      </c>
      <c r="O280" s="77"/>
      <c r="P280" s="78"/>
      <c r="Q280" s="78"/>
      <c r="R280" s="90"/>
      <c r="S280" s="49">
        <v>0</v>
      </c>
      <c r="T280" s="49">
        <v>1</v>
      </c>
      <c r="U280" s="50">
        <v>0</v>
      </c>
      <c r="V280" s="50">
        <v>0.231785</v>
      </c>
      <c r="W280" s="51"/>
      <c r="X280" s="51"/>
      <c r="Y280" s="51"/>
      <c r="Z280" s="50"/>
      <c r="AA280" s="73">
        <v>280</v>
      </c>
      <c r="AB280" s="73"/>
      <c r="AC280" s="74"/>
      <c r="AD280" s="81" t="s">
        <v>2695</v>
      </c>
      <c r="AE280" s="81"/>
      <c r="AF280" s="81"/>
      <c r="AG280" s="81"/>
      <c r="AH280" s="81"/>
      <c r="AI280" s="81" t="s">
        <v>1930</v>
      </c>
      <c r="AJ280" s="88">
        <v>41569.726481481484</v>
      </c>
      <c r="AK280" s="86" t="str">
        <f>HYPERLINK("https://yt3.ggpht.com/ytc/AIf8zZQbW4s74uP851_KfGXgZwhD9O2v8MwSNGFfu3hoxz43qQHUAmr5wtbVwaVgaaRd=s88-c-k-c0x00ffffff-no-rj")</f>
        <v>https://yt3.ggpht.com/ytc/AIf8zZQbW4s74uP851_KfGXgZwhD9O2v8MwSNGFfu3hoxz43qQHUAmr5wtbVwaVgaaRd=s88-c-k-c0x00ffffff-no-rj</v>
      </c>
      <c r="AL280" s="81">
        <v>0</v>
      </c>
      <c r="AM280" s="81">
        <v>0</v>
      </c>
      <c r="AN280" s="81">
        <v>8</v>
      </c>
      <c r="AO280" s="81" t="b">
        <v>0</v>
      </c>
      <c r="AP280" s="81">
        <v>0</v>
      </c>
      <c r="AQ280" s="81"/>
      <c r="AR280" s="81"/>
      <c r="AS280" s="81" t="s">
        <v>3378</v>
      </c>
      <c r="AT280" s="86" t="str">
        <f>HYPERLINK("https://www.youtube.com/channel/UC5UwyHs6XNxGyhAJxIoS3sQ")</f>
        <v>https://www.youtube.com/channel/UC5UwyHs6XNxGyhAJxIoS3sQ</v>
      </c>
      <c r="AU280" s="81" t="str">
        <f>REPLACE(INDEX(GroupVertices[Group],MATCH("~"&amp;Vertices[[#This Row],[Vertex]],GroupVertices[Vertex],0)),1,1,"")</f>
        <v>1</v>
      </c>
      <c r="AV280" s="49"/>
      <c r="AW280" s="49"/>
      <c r="AX280" s="49"/>
      <c r="AY280" s="49"/>
      <c r="AZ280" s="49"/>
      <c r="BA280" s="49"/>
      <c r="BB280" s="117" t="s">
        <v>3936</v>
      </c>
      <c r="BC280" s="117" t="s">
        <v>3936</v>
      </c>
      <c r="BD280" s="117" t="s">
        <v>4630</v>
      </c>
      <c r="BE280" s="117" t="s">
        <v>4630</v>
      </c>
      <c r="BF280" s="2"/>
      <c r="BG280" s="3"/>
      <c r="BH280" s="3"/>
      <c r="BI280" s="3"/>
      <c r="BJ280" s="3"/>
    </row>
    <row r="281" spans="1:62" ht="15">
      <c r="A281" s="66" t="s">
        <v>466</v>
      </c>
      <c r="B281" s="67"/>
      <c r="C281" s="67"/>
      <c r="D281" s="68">
        <v>50</v>
      </c>
      <c r="E281" s="70"/>
      <c r="F281" s="105" t="str">
        <f>HYPERLINK("https://yt3.ggpht.com/ytc/AIf8zZSmwDEpfbshp4J_3uEBefFVGLWi9ttECHhMSK0z62Qh-di_hbbrbfGyBvKaeZq-=s88-c-k-c0x00ffffff-no-rj")</f>
        <v>https://yt3.ggpht.com/ytc/AIf8zZSmwDEpfbshp4J_3uEBefFVGLWi9ttECHhMSK0z62Qh-di_hbbrbfGyBvKaeZq-=s88-c-k-c0x00ffffff-no-rj</v>
      </c>
      <c r="G281" s="67"/>
      <c r="H281" s="71" t="s">
        <v>2697</v>
      </c>
      <c r="I281" s="72"/>
      <c r="J281" s="72" t="s">
        <v>159</v>
      </c>
      <c r="K281" s="71" t="s">
        <v>2697</v>
      </c>
      <c r="L281" s="75">
        <v>1</v>
      </c>
      <c r="M281" s="76">
        <v>3286.21142578125</v>
      </c>
      <c r="N281" s="76">
        <v>4795.50439453125</v>
      </c>
      <c r="O281" s="77"/>
      <c r="P281" s="78"/>
      <c r="Q281" s="78"/>
      <c r="R281" s="90"/>
      <c r="S281" s="49">
        <v>0</v>
      </c>
      <c r="T281" s="49">
        <v>1</v>
      </c>
      <c r="U281" s="50">
        <v>0</v>
      </c>
      <c r="V281" s="50">
        <v>0.231785</v>
      </c>
      <c r="W281" s="51"/>
      <c r="X281" s="51"/>
      <c r="Y281" s="51"/>
      <c r="Z281" s="50"/>
      <c r="AA281" s="73">
        <v>281</v>
      </c>
      <c r="AB281" s="73"/>
      <c r="AC281" s="74"/>
      <c r="AD281" s="81" t="s">
        <v>2697</v>
      </c>
      <c r="AE281" s="81"/>
      <c r="AF281" s="81"/>
      <c r="AG281" s="81"/>
      <c r="AH281" s="81"/>
      <c r="AI281" s="81" t="s">
        <v>1932</v>
      </c>
      <c r="AJ281" s="88">
        <v>44811.058958333335</v>
      </c>
      <c r="AK281" s="86" t="str">
        <f>HYPERLINK("https://yt3.ggpht.com/ytc/AIf8zZSmwDEpfbshp4J_3uEBefFVGLWi9ttECHhMSK0z62Qh-di_hbbrbfGyBvKaeZq-=s88-c-k-c0x00ffffff-no-rj")</f>
        <v>https://yt3.ggpht.com/ytc/AIf8zZSmwDEpfbshp4J_3uEBefFVGLWi9ttECHhMSK0z62Qh-di_hbbrbfGyBvKaeZq-=s88-c-k-c0x00ffffff-no-rj</v>
      </c>
      <c r="AL281" s="81">
        <v>0</v>
      </c>
      <c r="AM281" s="81">
        <v>0</v>
      </c>
      <c r="AN281" s="81">
        <v>0</v>
      </c>
      <c r="AO281" s="81" t="b">
        <v>0</v>
      </c>
      <c r="AP281" s="81">
        <v>0</v>
      </c>
      <c r="AQ281" s="81"/>
      <c r="AR281" s="81"/>
      <c r="AS281" s="81" t="s">
        <v>3378</v>
      </c>
      <c r="AT281" s="86" t="str">
        <f>HYPERLINK("https://www.youtube.com/channel/UCSq1ql-tqFgD5cP6tA4qbUg")</f>
        <v>https://www.youtube.com/channel/UCSq1ql-tqFgD5cP6tA4qbUg</v>
      </c>
      <c r="AU281" s="81" t="str">
        <f>REPLACE(INDEX(GroupVertices[Group],MATCH("~"&amp;Vertices[[#This Row],[Vertex]],GroupVertices[Vertex],0)),1,1,"")</f>
        <v>1</v>
      </c>
      <c r="AV281" s="49"/>
      <c r="AW281" s="49"/>
      <c r="AX281" s="49"/>
      <c r="AY281" s="49"/>
      <c r="AZ281" s="49"/>
      <c r="BA281" s="49"/>
      <c r="BB281" s="117" t="s">
        <v>3938</v>
      </c>
      <c r="BC281" s="117" t="s">
        <v>3938</v>
      </c>
      <c r="BD281" s="117" t="s">
        <v>4632</v>
      </c>
      <c r="BE281" s="117" t="s">
        <v>4632</v>
      </c>
      <c r="BF281" s="2"/>
      <c r="BG281" s="3"/>
      <c r="BH281" s="3"/>
      <c r="BI281" s="3"/>
      <c r="BJ281" s="3"/>
    </row>
    <row r="282" spans="1:62" ht="15">
      <c r="A282" s="66" t="s">
        <v>467</v>
      </c>
      <c r="B282" s="67"/>
      <c r="C282" s="67"/>
      <c r="D282" s="68">
        <v>50</v>
      </c>
      <c r="E282" s="70"/>
      <c r="F282" s="105" t="str">
        <f>HYPERLINK("https://yt3.ggpht.com/ytc/AIf8zZQJ9mXuYm7csRjriDKquLg_KToN8Uk7TcJBZ7mNlg=s88-c-k-c0x00ffffff-no-rj")</f>
        <v>https://yt3.ggpht.com/ytc/AIf8zZQJ9mXuYm7csRjriDKquLg_KToN8Uk7TcJBZ7mNlg=s88-c-k-c0x00ffffff-no-rj</v>
      </c>
      <c r="G282" s="67"/>
      <c r="H282" s="71" t="s">
        <v>2698</v>
      </c>
      <c r="I282" s="72"/>
      <c r="J282" s="72" t="s">
        <v>159</v>
      </c>
      <c r="K282" s="71" t="s">
        <v>2698</v>
      </c>
      <c r="L282" s="75">
        <v>1</v>
      </c>
      <c r="M282" s="76">
        <v>2222.03271484375</v>
      </c>
      <c r="N282" s="76">
        <v>9846.576171875</v>
      </c>
      <c r="O282" s="77"/>
      <c r="P282" s="78"/>
      <c r="Q282" s="78"/>
      <c r="R282" s="90"/>
      <c r="S282" s="49">
        <v>0</v>
      </c>
      <c r="T282" s="49">
        <v>1</v>
      </c>
      <c r="U282" s="50">
        <v>0</v>
      </c>
      <c r="V282" s="50">
        <v>0.231785</v>
      </c>
      <c r="W282" s="51"/>
      <c r="X282" s="51"/>
      <c r="Y282" s="51"/>
      <c r="Z282" s="50"/>
      <c r="AA282" s="73">
        <v>282</v>
      </c>
      <c r="AB282" s="73"/>
      <c r="AC282" s="74"/>
      <c r="AD282" s="81" t="s">
        <v>2698</v>
      </c>
      <c r="AE282" s="81"/>
      <c r="AF282" s="81"/>
      <c r="AG282" s="81"/>
      <c r="AH282" s="81"/>
      <c r="AI282" s="81" t="s">
        <v>1933</v>
      </c>
      <c r="AJ282" s="88">
        <v>41084.61140046296</v>
      </c>
      <c r="AK282" s="86" t="str">
        <f>HYPERLINK("https://yt3.ggpht.com/ytc/AIf8zZQJ9mXuYm7csRjriDKquLg_KToN8Uk7TcJBZ7mNlg=s88-c-k-c0x00ffffff-no-rj")</f>
        <v>https://yt3.ggpht.com/ytc/AIf8zZQJ9mXuYm7csRjriDKquLg_KToN8Uk7TcJBZ7mNlg=s88-c-k-c0x00ffffff-no-rj</v>
      </c>
      <c r="AL282" s="81">
        <v>17127</v>
      </c>
      <c r="AM282" s="81">
        <v>0</v>
      </c>
      <c r="AN282" s="81">
        <v>67</v>
      </c>
      <c r="AO282" s="81" t="b">
        <v>0</v>
      </c>
      <c r="AP282" s="81">
        <v>52</v>
      </c>
      <c r="AQ282" s="81"/>
      <c r="AR282" s="81"/>
      <c r="AS282" s="81" t="s">
        <v>3378</v>
      </c>
      <c r="AT282" s="86" t="str">
        <f>HYPERLINK("https://www.youtube.com/channel/UCoYZatV4SXUGQsrmPt8wDUQ")</f>
        <v>https://www.youtube.com/channel/UCoYZatV4SXUGQsrmPt8wDUQ</v>
      </c>
      <c r="AU282" s="81" t="str">
        <f>REPLACE(INDEX(GroupVertices[Group],MATCH("~"&amp;Vertices[[#This Row],[Vertex]],GroupVertices[Vertex],0)),1,1,"")</f>
        <v>1</v>
      </c>
      <c r="AV282" s="49"/>
      <c r="AW282" s="49"/>
      <c r="AX282" s="49"/>
      <c r="AY282" s="49"/>
      <c r="AZ282" s="49"/>
      <c r="BA282" s="49"/>
      <c r="BB282" s="117" t="s">
        <v>3939</v>
      </c>
      <c r="BC282" s="117" t="s">
        <v>3939</v>
      </c>
      <c r="BD282" s="117" t="s">
        <v>4633</v>
      </c>
      <c r="BE282" s="117" t="s">
        <v>4633</v>
      </c>
      <c r="BF282" s="2"/>
      <c r="BG282" s="3"/>
      <c r="BH282" s="3"/>
      <c r="BI282" s="3"/>
      <c r="BJ282" s="3"/>
    </row>
    <row r="283" spans="1:62" ht="15">
      <c r="A283" s="66" t="s">
        <v>468</v>
      </c>
      <c r="B283" s="67"/>
      <c r="C283" s="67"/>
      <c r="D283" s="68">
        <v>50</v>
      </c>
      <c r="E283" s="70"/>
      <c r="F283" s="105" t="str">
        <f>HYPERLINK("https://yt3.ggpht.com/ytc/AIf8zZRwrtmDEEjA1sklAzPVOGTSoie3VKjpy-6N2Ptu=s88-c-k-c0x00ffffff-no-rj")</f>
        <v>https://yt3.ggpht.com/ytc/AIf8zZRwrtmDEEjA1sklAzPVOGTSoie3VKjpy-6N2Ptu=s88-c-k-c0x00ffffff-no-rj</v>
      </c>
      <c r="G283" s="67"/>
      <c r="H283" s="71" t="s">
        <v>2699</v>
      </c>
      <c r="I283" s="72"/>
      <c r="J283" s="72" t="s">
        <v>159</v>
      </c>
      <c r="K283" s="71" t="s">
        <v>2699</v>
      </c>
      <c r="L283" s="75">
        <v>1</v>
      </c>
      <c r="M283" s="76">
        <v>279.8553466796875</v>
      </c>
      <c r="N283" s="76">
        <v>7974.42236328125</v>
      </c>
      <c r="O283" s="77"/>
      <c r="P283" s="78"/>
      <c r="Q283" s="78"/>
      <c r="R283" s="90"/>
      <c r="S283" s="49">
        <v>0</v>
      </c>
      <c r="T283" s="49">
        <v>1</v>
      </c>
      <c r="U283" s="50">
        <v>0</v>
      </c>
      <c r="V283" s="50">
        <v>0.231785</v>
      </c>
      <c r="W283" s="51"/>
      <c r="X283" s="51"/>
      <c r="Y283" s="51"/>
      <c r="Z283" s="50"/>
      <c r="AA283" s="73">
        <v>283</v>
      </c>
      <c r="AB283" s="73"/>
      <c r="AC283" s="74"/>
      <c r="AD283" s="81" t="s">
        <v>2699</v>
      </c>
      <c r="AE283" s="81"/>
      <c r="AF283" s="81"/>
      <c r="AG283" s="81"/>
      <c r="AH283" s="81"/>
      <c r="AI283" s="81" t="s">
        <v>1934</v>
      </c>
      <c r="AJ283" s="88">
        <v>43297.74081018518</v>
      </c>
      <c r="AK283" s="86" t="str">
        <f>HYPERLINK("https://yt3.ggpht.com/ytc/AIf8zZRwrtmDEEjA1sklAzPVOGTSoie3VKjpy-6N2Ptu=s88-c-k-c0x00ffffff-no-rj")</f>
        <v>https://yt3.ggpht.com/ytc/AIf8zZRwrtmDEEjA1sklAzPVOGTSoie3VKjpy-6N2Ptu=s88-c-k-c0x00ffffff-no-rj</v>
      </c>
      <c r="AL283" s="81">
        <v>0</v>
      </c>
      <c r="AM283" s="81">
        <v>0</v>
      </c>
      <c r="AN283" s="81">
        <v>0</v>
      </c>
      <c r="AO283" s="81" t="b">
        <v>0</v>
      </c>
      <c r="AP283" s="81">
        <v>0</v>
      </c>
      <c r="AQ283" s="81"/>
      <c r="AR283" s="81"/>
      <c r="AS283" s="81" t="s">
        <v>3378</v>
      </c>
      <c r="AT283" s="86" t="str">
        <f>HYPERLINK("https://www.youtube.com/channel/UC8IeVJo78c8s_9HxUPZoxxw")</f>
        <v>https://www.youtube.com/channel/UC8IeVJo78c8s_9HxUPZoxxw</v>
      </c>
      <c r="AU283" s="81" t="str">
        <f>REPLACE(INDEX(GroupVertices[Group],MATCH("~"&amp;Vertices[[#This Row],[Vertex]],GroupVertices[Vertex],0)),1,1,"")</f>
        <v>1</v>
      </c>
      <c r="AV283" s="49"/>
      <c r="AW283" s="49"/>
      <c r="AX283" s="49"/>
      <c r="AY283" s="49"/>
      <c r="AZ283" s="49"/>
      <c r="BA283" s="49"/>
      <c r="BB283" s="117" t="s">
        <v>3940</v>
      </c>
      <c r="BC283" s="117" t="s">
        <v>3940</v>
      </c>
      <c r="BD283" s="117" t="s">
        <v>4634</v>
      </c>
      <c r="BE283" s="117" t="s">
        <v>4634</v>
      </c>
      <c r="BF283" s="2"/>
      <c r="BG283" s="3"/>
      <c r="BH283" s="3"/>
      <c r="BI283" s="3"/>
      <c r="BJ283" s="3"/>
    </row>
    <row r="284" spans="1:62" ht="15">
      <c r="A284" s="66" t="s">
        <v>469</v>
      </c>
      <c r="B284" s="67"/>
      <c r="C284" s="67"/>
      <c r="D284" s="68">
        <v>50</v>
      </c>
      <c r="E284" s="70"/>
      <c r="F284" s="105" t="str">
        <f>HYPERLINK("https://yt3.ggpht.com/ytc/AIf8zZQj8gvcI7R1V4M7MADa51iDfgZw4PirSqSISN7kqw=s88-c-k-c0x00ffffff-no-rj")</f>
        <v>https://yt3.ggpht.com/ytc/AIf8zZQj8gvcI7R1V4M7MADa51iDfgZw4PirSqSISN7kqw=s88-c-k-c0x00ffffff-no-rj</v>
      </c>
      <c r="G284" s="67"/>
      <c r="H284" s="71" t="s">
        <v>2700</v>
      </c>
      <c r="I284" s="72"/>
      <c r="J284" s="72" t="s">
        <v>159</v>
      </c>
      <c r="K284" s="71" t="s">
        <v>2700</v>
      </c>
      <c r="L284" s="75">
        <v>1</v>
      </c>
      <c r="M284" s="76">
        <v>624.9299926757812</v>
      </c>
      <c r="N284" s="76">
        <v>5867.357421875</v>
      </c>
      <c r="O284" s="77"/>
      <c r="P284" s="78"/>
      <c r="Q284" s="78"/>
      <c r="R284" s="90"/>
      <c r="S284" s="49">
        <v>0</v>
      </c>
      <c r="T284" s="49">
        <v>1</v>
      </c>
      <c r="U284" s="50">
        <v>0</v>
      </c>
      <c r="V284" s="50">
        <v>0.231785</v>
      </c>
      <c r="W284" s="51"/>
      <c r="X284" s="51"/>
      <c r="Y284" s="51"/>
      <c r="Z284" s="50"/>
      <c r="AA284" s="73">
        <v>284</v>
      </c>
      <c r="AB284" s="73"/>
      <c r="AC284" s="74"/>
      <c r="AD284" s="81" t="s">
        <v>2700</v>
      </c>
      <c r="AE284" s="81"/>
      <c r="AF284" s="81"/>
      <c r="AG284" s="81"/>
      <c r="AH284" s="81"/>
      <c r="AI284" s="81" t="s">
        <v>1935</v>
      </c>
      <c r="AJ284" s="88">
        <v>42711.50797453704</v>
      </c>
      <c r="AK284" s="86" t="str">
        <f>HYPERLINK("https://yt3.ggpht.com/ytc/AIf8zZQj8gvcI7R1V4M7MADa51iDfgZw4PirSqSISN7kqw=s88-c-k-c0x00ffffff-no-rj")</f>
        <v>https://yt3.ggpht.com/ytc/AIf8zZQj8gvcI7R1V4M7MADa51iDfgZw4PirSqSISN7kqw=s88-c-k-c0x00ffffff-no-rj</v>
      </c>
      <c r="AL284" s="81">
        <v>67</v>
      </c>
      <c r="AM284" s="81">
        <v>0</v>
      </c>
      <c r="AN284" s="81">
        <v>1</v>
      </c>
      <c r="AO284" s="81" t="b">
        <v>0</v>
      </c>
      <c r="AP284" s="81">
        <v>1</v>
      </c>
      <c r="AQ284" s="81"/>
      <c r="AR284" s="81"/>
      <c r="AS284" s="81" t="s">
        <v>3378</v>
      </c>
      <c r="AT284" s="86" t="str">
        <f>HYPERLINK("https://www.youtube.com/channel/UCpYQNx09wnzoENmWINuIZaA")</f>
        <v>https://www.youtube.com/channel/UCpYQNx09wnzoENmWINuIZaA</v>
      </c>
      <c r="AU284" s="81" t="str">
        <f>REPLACE(INDEX(GroupVertices[Group],MATCH("~"&amp;Vertices[[#This Row],[Vertex]],GroupVertices[Vertex],0)),1,1,"")</f>
        <v>1</v>
      </c>
      <c r="AV284" s="49" t="s">
        <v>3463</v>
      </c>
      <c r="AW284" s="49" t="s">
        <v>3463</v>
      </c>
      <c r="AX284" s="49" t="s">
        <v>2414</v>
      </c>
      <c r="AY284" s="49" t="s">
        <v>2414</v>
      </c>
      <c r="AZ284" s="49"/>
      <c r="BA284" s="49"/>
      <c r="BB284" s="117" t="s">
        <v>3941</v>
      </c>
      <c r="BC284" s="117" t="s">
        <v>3941</v>
      </c>
      <c r="BD284" s="117" t="s">
        <v>4635</v>
      </c>
      <c r="BE284" s="117" t="s">
        <v>4635</v>
      </c>
      <c r="BF284" s="2"/>
      <c r="BG284" s="3"/>
      <c r="BH284" s="3"/>
      <c r="BI284" s="3"/>
      <c r="BJ284" s="3"/>
    </row>
    <row r="285" spans="1:62" ht="15">
      <c r="A285" s="66" t="s">
        <v>470</v>
      </c>
      <c r="B285" s="67"/>
      <c r="C285" s="67"/>
      <c r="D285" s="68">
        <v>50</v>
      </c>
      <c r="E285" s="70"/>
      <c r="F285" s="105" t="str">
        <f>HYPERLINK("https://yt3.ggpht.com/ytc/AIf8zZTprVrDOC_vAeoJunn-ZOso1gpql8bQBfh68w=s88-c-k-c0x00ffffff-no-rj")</f>
        <v>https://yt3.ggpht.com/ytc/AIf8zZTprVrDOC_vAeoJunn-ZOso1gpql8bQBfh68w=s88-c-k-c0x00ffffff-no-rj</v>
      </c>
      <c r="G285" s="67"/>
      <c r="H285" s="71" t="s">
        <v>2701</v>
      </c>
      <c r="I285" s="72"/>
      <c r="J285" s="72" t="s">
        <v>159</v>
      </c>
      <c r="K285" s="71" t="s">
        <v>2701</v>
      </c>
      <c r="L285" s="75">
        <v>1</v>
      </c>
      <c r="M285" s="76">
        <v>756.5234375</v>
      </c>
      <c r="N285" s="76">
        <v>6293.30859375</v>
      </c>
      <c r="O285" s="77"/>
      <c r="P285" s="78"/>
      <c r="Q285" s="78"/>
      <c r="R285" s="90"/>
      <c r="S285" s="49">
        <v>0</v>
      </c>
      <c r="T285" s="49">
        <v>1</v>
      </c>
      <c r="U285" s="50">
        <v>0</v>
      </c>
      <c r="V285" s="50">
        <v>0.231785</v>
      </c>
      <c r="W285" s="51"/>
      <c r="X285" s="51"/>
      <c r="Y285" s="51"/>
      <c r="Z285" s="50"/>
      <c r="AA285" s="73">
        <v>285</v>
      </c>
      <c r="AB285" s="73"/>
      <c r="AC285" s="74"/>
      <c r="AD285" s="81" t="s">
        <v>2701</v>
      </c>
      <c r="AE285" s="81"/>
      <c r="AF285" s="81"/>
      <c r="AG285" s="81"/>
      <c r="AH285" s="81"/>
      <c r="AI285" s="81" t="s">
        <v>1936</v>
      </c>
      <c r="AJ285" s="88">
        <v>39267.361712962964</v>
      </c>
      <c r="AK285" s="86" t="str">
        <f>HYPERLINK("https://yt3.ggpht.com/ytc/AIf8zZTprVrDOC_vAeoJunn-ZOso1gpql8bQBfh68w=s88-c-k-c0x00ffffff-no-rj")</f>
        <v>https://yt3.ggpht.com/ytc/AIf8zZTprVrDOC_vAeoJunn-ZOso1gpql8bQBfh68w=s88-c-k-c0x00ffffff-no-rj</v>
      </c>
      <c r="AL285" s="81">
        <v>1462</v>
      </c>
      <c r="AM285" s="81">
        <v>0</v>
      </c>
      <c r="AN285" s="81">
        <v>2</v>
      </c>
      <c r="AO285" s="81" t="b">
        <v>0</v>
      </c>
      <c r="AP285" s="81">
        <v>20</v>
      </c>
      <c r="AQ285" s="81"/>
      <c r="AR285" s="81"/>
      <c r="AS285" s="81" t="s">
        <v>3378</v>
      </c>
      <c r="AT285" s="86" t="str">
        <f>HYPERLINK("https://www.youtube.com/channel/UC3_a08NPE-NHhmWr8hbZxwg")</f>
        <v>https://www.youtube.com/channel/UC3_a08NPE-NHhmWr8hbZxwg</v>
      </c>
      <c r="AU285" s="81" t="str">
        <f>REPLACE(INDEX(GroupVertices[Group],MATCH("~"&amp;Vertices[[#This Row],[Vertex]],GroupVertices[Vertex],0)),1,1,"")</f>
        <v>1</v>
      </c>
      <c r="AV285" s="49"/>
      <c r="AW285" s="49"/>
      <c r="AX285" s="49"/>
      <c r="AY285" s="49"/>
      <c r="AZ285" s="49"/>
      <c r="BA285" s="49"/>
      <c r="BB285" s="117" t="s">
        <v>3942</v>
      </c>
      <c r="BC285" s="117" t="s">
        <v>3942</v>
      </c>
      <c r="BD285" s="117" t="s">
        <v>4636</v>
      </c>
      <c r="BE285" s="117" t="s">
        <v>4636</v>
      </c>
      <c r="BF285" s="2"/>
      <c r="BG285" s="3"/>
      <c r="BH285" s="3"/>
      <c r="BI285" s="3"/>
      <c r="BJ285" s="3"/>
    </row>
    <row r="286" spans="1:62" ht="15">
      <c r="A286" s="66" t="s">
        <v>471</v>
      </c>
      <c r="B286" s="67"/>
      <c r="C286" s="67"/>
      <c r="D286" s="68">
        <v>50</v>
      </c>
      <c r="E286" s="70"/>
      <c r="F286" s="105" t="str">
        <f>HYPERLINK("https://yt3.ggpht.com/ytc/AIf8zZT0OWJSzubKfZEpUEqrFqdf06NHm-pgZlIE_O7ckccxisL_ril_VSolz6igfIfT=s88-c-k-c0x00ffffff-no-rj")</f>
        <v>https://yt3.ggpht.com/ytc/AIf8zZT0OWJSzubKfZEpUEqrFqdf06NHm-pgZlIE_O7ckccxisL_ril_VSolz6igfIfT=s88-c-k-c0x00ffffff-no-rj</v>
      </c>
      <c r="G286" s="67"/>
      <c r="H286" s="71" t="s">
        <v>2702</v>
      </c>
      <c r="I286" s="72"/>
      <c r="J286" s="72" t="s">
        <v>159</v>
      </c>
      <c r="K286" s="71" t="s">
        <v>2702</v>
      </c>
      <c r="L286" s="75">
        <v>1</v>
      </c>
      <c r="M286" s="76">
        <v>2343.56689453125</v>
      </c>
      <c r="N286" s="76">
        <v>5503.4296875</v>
      </c>
      <c r="O286" s="77"/>
      <c r="P286" s="78"/>
      <c r="Q286" s="78"/>
      <c r="R286" s="90"/>
      <c r="S286" s="49">
        <v>0</v>
      </c>
      <c r="T286" s="49">
        <v>1</v>
      </c>
      <c r="U286" s="50">
        <v>0</v>
      </c>
      <c r="V286" s="50">
        <v>0.231785</v>
      </c>
      <c r="W286" s="51"/>
      <c r="X286" s="51"/>
      <c r="Y286" s="51"/>
      <c r="Z286" s="50"/>
      <c r="AA286" s="73">
        <v>286</v>
      </c>
      <c r="AB286" s="73"/>
      <c r="AC286" s="74"/>
      <c r="AD286" s="81" t="s">
        <v>2702</v>
      </c>
      <c r="AE286" s="81"/>
      <c r="AF286" s="81"/>
      <c r="AG286" s="81"/>
      <c r="AH286" s="81"/>
      <c r="AI286" s="81" t="s">
        <v>1937</v>
      </c>
      <c r="AJ286" s="88">
        <v>44340.512650462966</v>
      </c>
      <c r="AK286" s="86" t="str">
        <f>HYPERLINK("https://yt3.ggpht.com/ytc/AIf8zZT0OWJSzubKfZEpUEqrFqdf06NHm-pgZlIE_O7ckccxisL_ril_VSolz6igfIfT=s88-c-k-c0x00ffffff-no-rj")</f>
        <v>https://yt3.ggpht.com/ytc/AIf8zZT0OWJSzubKfZEpUEqrFqdf06NHm-pgZlIE_O7ckccxisL_ril_VSolz6igfIfT=s88-c-k-c0x00ffffff-no-rj</v>
      </c>
      <c r="AL286" s="81">
        <v>0</v>
      </c>
      <c r="AM286" s="81">
        <v>0</v>
      </c>
      <c r="AN286" s="81">
        <v>0</v>
      </c>
      <c r="AO286" s="81" t="b">
        <v>0</v>
      </c>
      <c r="AP286" s="81">
        <v>0</v>
      </c>
      <c r="AQ286" s="81"/>
      <c r="AR286" s="81"/>
      <c r="AS286" s="81" t="s">
        <v>3378</v>
      </c>
      <c r="AT286" s="86" t="str">
        <f>HYPERLINK("https://www.youtube.com/channel/UCGLH2RwIrSUzQrtbO0dDg6g")</f>
        <v>https://www.youtube.com/channel/UCGLH2RwIrSUzQrtbO0dDg6g</v>
      </c>
      <c r="AU286" s="81" t="str">
        <f>REPLACE(INDEX(GroupVertices[Group],MATCH("~"&amp;Vertices[[#This Row],[Vertex]],GroupVertices[Vertex],0)),1,1,"")</f>
        <v>1</v>
      </c>
      <c r="AV286" s="49"/>
      <c r="AW286" s="49"/>
      <c r="AX286" s="49"/>
      <c r="AY286" s="49"/>
      <c r="AZ286" s="49"/>
      <c r="BA286" s="49"/>
      <c r="BB286" s="117" t="s">
        <v>3943</v>
      </c>
      <c r="BC286" s="117" t="s">
        <v>3943</v>
      </c>
      <c r="BD286" s="117" t="s">
        <v>4637</v>
      </c>
      <c r="BE286" s="117" t="s">
        <v>4637</v>
      </c>
      <c r="BF286" s="2"/>
      <c r="BG286" s="3"/>
      <c r="BH286" s="3"/>
      <c r="BI286" s="3"/>
      <c r="BJ286" s="3"/>
    </row>
    <row r="287" spans="1:62" ht="15">
      <c r="A287" s="66" t="s">
        <v>472</v>
      </c>
      <c r="B287" s="67"/>
      <c r="C287" s="67"/>
      <c r="D287" s="68">
        <v>50</v>
      </c>
      <c r="E287" s="70"/>
      <c r="F287" s="105" t="str">
        <f>HYPERLINK("https://yt3.ggpht.com/ytc/AIf8zZSbBh0zOipf2qsi9G_TBPytz4RohmU0-jBf4w=s88-c-k-c0x00ffffff-no-rj")</f>
        <v>https://yt3.ggpht.com/ytc/AIf8zZSbBh0zOipf2qsi9G_TBPytz4RohmU0-jBf4w=s88-c-k-c0x00ffffff-no-rj</v>
      </c>
      <c r="G287" s="67"/>
      <c r="H287" s="71" t="s">
        <v>2703</v>
      </c>
      <c r="I287" s="72"/>
      <c r="J287" s="72" t="s">
        <v>159</v>
      </c>
      <c r="K287" s="71" t="s">
        <v>2703</v>
      </c>
      <c r="L287" s="75">
        <v>1</v>
      </c>
      <c r="M287" s="76">
        <v>570.6619873046875</v>
      </c>
      <c r="N287" s="76">
        <v>7182.71533203125</v>
      </c>
      <c r="O287" s="77"/>
      <c r="P287" s="78"/>
      <c r="Q287" s="78"/>
      <c r="R287" s="90"/>
      <c r="S287" s="49">
        <v>0</v>
      </c>
      <c r="T287" s="49">
        <v>1</v>
      </c>
      <c r="U287" s="50">
        <v>0</v>
      </c>
      <c r="V287" s="50">
        <v>0.231785</v>
      </c>
      <c r="W287" s="51"/>
      <c r="X287" s="51"/>
      <c r="Y287" s="51"/>
      <c r="Z287" s="50"/>
      <c r="AA287" s="73">
        <v>287</v>
      </c>
      <c r="AB287" s="73"/>
      <c r="AC287" s="74"/>
      <c r="AD287" s="81" t="s">
        <v>2703</v>
      </c>
      <c r="AE287" s="81"/>
      <c r="AF287" s="81"/>
      <c r="AG287" s="81"/>
      <c r="AH287" s="81"/>
      <c r="AI287" s="81" t="s">
        <v>1938</v>
      </c>
      <c r="AJ287" s="88">
        <v>44193.33231481481</v>
      </c>
      <c r="AK287" s="86" t="str">
        <f>HYPERLINK("https://yt3.ggpht.com/ytc/AIf8zZSbBh0zOipf2qsi9G_TBPytz4RohmU0-jBf4w=s88-c-k-c0x00ffffff-no-rj")</f>
        <v>https://yt3.ggpht.com/ytc/AIf8zZSbBh0zOipf2qsi9G_TBPytz4RohmU0-jBf4w=s88-c-k-c0x00ffffff-no-rj</v>
      </c>
      <c r="AL287" s="81">
        <v>0</v>
      </c>
      <c r="AM287" s="81">
        <v>0</v>
      </c>
      <c r="AN287" s="81">
        <v>0</v>
      </c>
      <c r="AO287" s="81" t="b">
        <v>0</v>
      </c>
      <c r="AP287" s="81">
        <v>0</v>
      </c>
      <c r="AQ287" s="81"/>
      <c r="AR287" s="81"/>
      <c r="AS287" s="81" t="s">
        <v>3378</v>
      </c>
      <c r="AT287" s="86" t="str">
        <f>HYPERLINK("https://www.youtube.com/channel/UCmPeOGgQC7v40JsAGwnCKkw")</f>
        <v>https://www.youtube.com/channel/UCmPeOGgQC7v40JsAGwnCKkw</v>
      </c>
      <c r="AU287" s="81" t="str">
        <f>REPLACE(INDEX(GroupVertices[Group],MATCH("~"&amp;Vertices[[#This Row],[Vertex]],GroupVertices[Vertex],0)),1,1,"")</f>
        <v>1</v>
      </c>
      <c r="AV287" s="49"/>
      <c r="AW287" s="49"/>
      <c r="AX287" s="49"/>
      <c r="AY287" s="49"/>
      <c r="AZ287" s="49"/>
      <c r="BA287" s="49"/>
      <c r="BB287" s="117" t="s">
        <v>3944</v>
      </c>
      <c r="BC287" s="117" t="s">
        <v>3944</v>
      </c>
      <c r="BD287" s="117" t="s">
        <v>4638</v>
      </c>
      <c r="BE287" s="117" t="s">
        <v>4638</v>
      </c>
      <c r="BF287" s="2"/>
      <c r="BG287" s="3"/>
      <c r="BH287" s="3"/>
      <c r="BI287" s="3"/>
      <c r="BJ287" s="3"/>
    </row>
    <row r="288" spans="1:62" ht="15">
      <c r="A288" s="66" t="s">
        <v>473</v>
      </c>
      <c r="B288" s="67"/>
      <c r="C288" s="67"/>
      <c r="D288" s="68">
        <v>50</v>
      </c>
      <c r="E288" s="70"/>
      <c r="F288" s="105" t="str">
        <f>HYPERLINK("https://yt3.ggpht.com/ytc/AIf8zZRlxlNmHbYTRDa7rHZ0ge38nQimJxfWPNdL-w=s88-c-k-c0x00ffffff-no-rj")</f>
        <v>https://yt3.ggpht.com/ytc/AIf8zZRlxlNmHbYTRDa7rHZ0ge38nQimJxfWPNdL-w=s88-c-k-c0x00ffffff-no-rj</v>
      </c>
      <c r="G288" s="67"/>
      <c r="H288" s="71" t="s">
        <v>2704</v>
      </c>
      <c r="I288" s="72"/>
      <c r="J288" s="72" t="s">
        <v>159</v>
      </c>
      <c r="K288" s="71" t="s">
        <v>2704</v>
      </c>
      <c r="L288" s="75">
        <v>1</v>
      </c>
      <c r="M288" s="76">
        <v>1280.12158203125</v>
      </c>
      <c r="N288" s="76">
        <v>4073.938232421875</v>
      </c>
      <c r="O288" s="77"/>
      <c r="P288" s="78"/>
      <c r="Q288" s="78"/>
      <c r="R288" s="90"/>
      <c r="S288" s="49">
        <v>0</v>
      </c>
      <c r="T288" s="49">
        <v>1</v>
      </c>
      <c r="U288" s="50">
        <v>0</v>
      </c>
      <c r="V288" s="50">
        <v>0.231785</v>
      </c>
      <c r="W288" s="51"/>
      <c r="X288" s="51"/>
      <c r="Y288" s="51"/>
      <c r="Z288" s="50"/>
      <c r="AA288" s="73">
        <v>288</v>
      </c>
      <c r="AB288" s="73"/>
      <c r="AC288" s="74"/>
      <c r="AD288" s="81" t="s">
        <v>2704</v>
      </c>
      <c r="AE288" s="81"/>
      <c r="AF288" s="81"/>
      <c r="AG288" s="81"/>
      <c r="AH288" s="81"/>
      <c r="AI288" s="81" t="s">
        <v>1939</v>
      </c>
      <c r="AJ288" s="88">
        <v>41484.18019675926</v>
      </c>
      <c r="AK288" s="86" t="str">
        <f>HYPERLINK("https://yt3.ggpht.com/ytc/AIf8zZRlxlNmHbYTRDa7rHZ0ge38nQimJxfWPNdL-w=s88-c-k-c0x00ffffff-no-rj")</f>
        <v>https://yt3.ggpht.com/ytc/AIf8zZRlxlNmHbYTRDa7rHZ0ge38nQimJxfWPNdL-w=s88-c-k-c0x00ffffff-no-rj</v>
      </c>
      <c r="AL288" s="81">
        <v>0</v>
      </c>
      <c r="AM288" s="81">
        <v>0</v>
      </c>
      <c r="AN288" s="81">
        <v>3</v>
      </c>
      <c r="AO288" s="81" t="b">
        <v>0</v>
      </c>
      <c r="AP288" s="81">
        <v>0</v>
      </c>
      <c r="AQ288" s="81"/>
      <c r="AR288" s="81"/>
      <c r="AS288" s="81" t="s">
        <v>3378</v>
      </c>
      <c r="AT288" s="86" t="str">
        <f>HYPERLINK("https://www.youtube.com/channel/UCDRddzLJ31RaeSJXr7wi93A")</f>
        <v>https://www.youtube.com/channel/UCDRddzLJ31RaeSJXr7wi93A</v>
      </c>
      <c r="AU288" s="81" t="str">
        <f>REPLACE(INDEX(GroupVertices[Group],MATCH("~"&amp;Vertices[[#This Row],[Vertex]],GroupVertices[Vertex],0)),1,1,"")</f>
        <v>1</v>
      </c>
      <c r="AV288" s="49"/>
      <c r="AW288" s="49"/>
      <c r="AX288" s="49"/>
      <c r="AY288" s="49"/>
      <c r="AZ288" s="49"/>
      <c r="BA288" s="49"/>
      <c r="BB288" s="117" t="s">
        <v>3945</v>
      </c>
      <c r="BC288" s="117" t="s">
        <v>3945</v>
      </c>
      <c r="BD288" s="117" t="s">
        <v>4639</v>
      </c>
      <c r="BE288" s="117" t="s">
        <v>4639</v>
      </c>
      <c r="BF288" s="2"/>
      <c r="BG288" s="3"/>
      <c r="BH288" s="3"/>
      <c r="BI288" s="3"/>
      <c r="BJ288" s="3"/>
    </row>
    <row r="289" spans="1:62" ht="15">
      <c r="A289" s="66" t="s">
        <v>474</v>
      </c>
      <c r="B289" s="67"/>
      <c r="C289" s="67"/>
      <c r="D289" s="68">
        <v>50</v>
      </c>
      <c r="E289" s="70"/>
      <c r="F289" s="105" t="str">
        <f>HYPERLINK("https://yt3.ggpht.com/ytc/AIf8zZQdKEsWq8oYoDPZUXF1mWRO75ZthMPRLLJG9w=s88-c-k-c0x00ffffff-no-rj")</f>
        <v>https://yt3.ggpht.com/ytc/AIf8zZQdKEsWq8oYoDPZUXF1mWRO75ZthMPRLLJG9w=s88-c-k-c0x00ffffff-no-rj</v>
      </c>
      <c r="G289" s="67"/>
      <c r="H289" s="71" t="s">
        <v>2705</v>
      </c>
      <c r="I289" s="72"/>
      <c r="J289" s="72" t="s">
        <v>159</v>
      </c>
      <c r="K289" s="71" t="s">
        <v>2705</v>
      </c>
      <c r="L289" s="75">
        <v>1</v>
      </c>
      <c r="M289" s="76">
        <v>3109.242919921875</v>
      </c>
      <c r="N289" s="76">
        <v>5025.19384765625</v>
      </c>
      <c r="O289" s="77"/>
      <c r="P289" s="78"/>
      <c r="Q289" s="78"/>
      <c r="R289" s="90"/>
      <c r="S289" s="49">
        <v>0</v>
      </c>
      <c r="T289" s="49">
        <v>1</v>
      </c>
      <c r="U289" s="50">
        <v>0</v>
      </c>
      <c r="V289" s="50">
        <v>0.231785</v>
      </c>
      <c r="W289" s="51"/>
      <c r="X289" s="51"/>
      <c r="Y289" s="51"/>
      <c r="Z289" s="50"/>
      <c r="AA289" s="73">
        <v>289</v>
      </c>
      <c r="AB289" s="73"/>
      <c r="AC289" s="74"/>
      <c r="AD289" s="81" t="s">
        <v>2705</v>
      </c>
      <c r="AE289" s="81"/>
      <c r="AF289" s="81"/>
      <c r="AG289" s="81"/>
      <c r="AH289" s="81"/>
      <c r="AI289" s="81" t="s">
        <v>1940</v>
      </c>
      <c r="AJ289" s="88">
        <v>40883.262604166666</v>
      </c>
      <c r="AK289" s="86" t="str">
        <f>HYPERLINK("https://yt3.ggpht.com/ytc/AIf8zZQdKEsWq8oYoDPZUXF1mWRO75ZthMPRLLJG9w=s88-c-k-c0x00ffffff-no-rj")</f>
        <v>https://yt3.ggpht.com/ytc/AIf8zZQdKEsWq8oYoDPZUXF1mWRO75ZthMPRLLJG9w=s88-c-k-c0x00ffffff-no-rj</v>
      </c>
      <c r="AL289" s="81">
        <v>0</v>
      </c>
      <c r="AM289" s="81">
        <v>0</v>
      </c>
      <c r="AN289" s="81">
        <v>4</v>
      </c>
      <c r="AO289" s="81" t="b">
        <v>0</v>
      </c>
      <c r="AP289" s="81">
        <v>0</v>
      </c>
      <c r="AQ289" s="81"/>
      <c r="AR289" s="81"/>
      <c r="AS289" s="81" t="s">
        <v>3378</v>
      </c>
      <c r="AT289" s="86" t="str">
        <f>HYPERLINK("https://www.youtube.com/channel/UC2kcz3diFpJ88PfQil2AfBg")</f>
        <v>https://www.youtube.com/channel/UC2kcz3diFpJ88PfQil2AfBg</v>
      </c>
      <c r="AU289" s="81" t="str">
        <f>REPLACE(INDEX(GroupVertices[Group],MATCH("~"&amp;Vertices[[#This Row],[Vertex]],GroupVertices[Vertex],0)),1,1,"")</f>
        <v>1</v>
      </c>
      <c r="AV289" s="49"/>
      <c r="AW289" s="49"/>
      <c r="AX289" s="49"/>
      <c r="AY289" s="49"/>
      <c r="AZ289" s="49"/>
      <c r="BA289" s="49"/>
      <c r="BB289" s="117" t="s">
        <v>3946</v>
      </c>
      <c r="BC289" s="117" t="s">
        <v>3946</v>
      </c>
      <c r="BD289" s="117" t="s">
        <v>4640</v>
      </c>
      <c r="BE289" s="117" t="s">
        <v>4640</v>
      </c>
      <c r="BF289" s="2"/>
      <c r="BG289" s="3"/>
      <c r="BH289" s="3"/>
      <c r="BI289" s="3"/>
      <c r="BJ289" s="3"/>
    </row>
    <row r="290" spans="1:62" ht="15">
      <c r="A290" s="66" t="s">
        <v>475</v>
      </c>
      <c r="B290" s="67"/>
      <c r="C290" s="67"/>
      <c r="D290" s="68">
        <v>50</v>
      </c>
      <c r="E290" s="70"/>
      <c r="F290" s="105" t="str">
        <f>HYPERLINK("https://yt3.ggpht.com/ytc/AIf8zZSPH1GU7XXboIB3ENIJB-87s7N6fyRwyzaoYQ=s88-c-k-c0x00ffffff-no-rj")</f>
        <v>https://yt3.ggpht.com/ytc/AIf8zZSPH1GU7XXboIB3ENIJB-87s7N6fyRwyzaoYQ=s88-c-k-c0x00ffffff-no-rj</v>
      </c>
      <c r="G290" s="67"/>
      <c r="H290" s="71" t="s">
        <v>2706</v>
      </c>
      <c r="I290" s="72"/>
      <c r="J290" s="72" t="s">
        <v>159</v>
      </c>
      <c r="K290" s="71" t="s">
        <v>2706</v>
      </c>
      <c r="L290" s="75">
        <v>1</v>
      </c>
      <c r="M290" s="76">
        <v>715.680419921875</v>
      </c>
      <c r="N290" s="76">
        <v>5873.41796875</v>
      </c>
      <c r="O290" s="77"/>
      <c r="P290" s="78"/>
      <c r="Q290" s="78"/>
      <c r="R290" s="90"/>
      <c r="S290" s="49">
        <v>0</v>
      </c>
      <c r="T290" s="49">
        <v>1</v>
      </c>
      <c r="U290" s="50">
        <v>0</v>
      </c>
      <c r="V290" s="50">
        <v>0.231785</v>
      </c>
      <c r="W290" s="51"/>
      <c r="X290" s="51"/>
      <c r="Y290" s="51"/>
      <c r="Z290" s="50"/>
      <c r="AA290" s="73">
        <v>290</v>
      </c>
      <c r="AB290" s="73"/>
      <c r="AC290" s="74"/>
      <c r="AD290" s="81" t="s">
        <v>2706</v>
      </c>
      <c r="AE290" s="81"/>
      <c r="AF290" s="81"/>
      <c r="AG290" s="81"/>
      <c r="AH290" s="81"/>
      <c r="AI290" s="81" t="s">
        <v>1941</v>
      </c>
      <c r="AJ290" s="88">
        <v>44212.291608796295</v>
      </c>
      <c r="AK290" s="86" t="str">
        <f>HYPERLINK("https://yt3.ggpht.com/ytc/AIf8zZSPH1GU7XXboIB3ENIJB-87s7N6fyRwyzaoYQ=s88-c-k-c0x00ffffff-no-rj")</f>
        <v>https://yt3.ggpht.com/ytc/AIf8zZSPH1GU7XXboIB3ENIJB-87s7N6fyRwyzaoYQ=s88-c-k-c0x00ffffff-no-rj</v>
      </c>
      <c r="AL290" s="81">
        <v>0</v>
      </c>
      <c r="AM290" s="81">
        <v>0</v>
      </c>
      <c r="AN290" s="81">
        <v>1</v>
      </c>
      <c r="AO290" s="81" t="b">
        <v>0</v>
      </c>
      <c r="AP290" s="81">
        <v>0</v>
      </c>
      <c r="AQ290" s="81"/>
      <c r="AR290" s="81"/>
      <c r="AS290" s="81" t="s">
        <v>3378</v>
      </c>
      <c r="AT290" s="86" t="str">
        <f>HYPERLINK("https://www.youtube.com/channel/UCq7wQaZ9_DkRV_qvFmrfPcQ")</f>
        <v>https://www.youtube.com/channel/UCq7wQaZ9_DkRV_qvFmrfPcQ</v>
      </c>
      <c r="AU290" s="81" t="str">
        <f>REPLACE(INDEX(GroupVertices[Group],MATCH("~"&amp;Vertices[[#This Row],[Vertex]],GroupVertices[Vertex],0)),1,1,"")</f>
        <v>1</v>
      </c>
      <c r="AV290" s="49"/>
      <c r="AW290" s="49"/>
      <c r="AX290" s="49"/>
      <c r="AY290" s="49"/>
      <c r="AZ290" s="49"/>
      <c r="BA290" s="49"/>
      <c r="BB290" s="117" t="s">
        <v>3947</v>
      </c>
      <c r="BC290" s="117" t="s">
        <v>3947</v>
      </c>
      <c r="BD290" s="117" t="s">
        <v>4641</v>
      </c>
      <c r="BE290" s="117" t="s">
        <v>4641</v>
      </c>
      <c r="BF290" s="2"/>
      <c r="BG290" s="3"/>
      <c r="BH290" s="3"/>
      <c r="BI290" s="3"/>
      <c r="BJ290" s="3"/>
    </row>
    <row r="291" spans="1:62" ht="15">
      <c r="A291" s="66" t="s">
        <v>476</v>
      </c>
      <c r="B291" s="67"/>
      <c r="C291" s="67"/>
      <c r="D291" s="68">
        <v>50</v>
      </c>
      <c r="E291" s="70"/>
      <c r="F291" s="105" t="str">
        <f>HYPERLINK("https://yt3.ggpht.com/ytc/AIf8zZSsajDoU5f0dr_YnC_GzB8c8UV08FyDp4DG_Q=s88-c-k-c0x00ffffff-no-rj")</f>
        <v>https://yt3.ggpht.com/ytc/AIf8zZSsajDoU5f0dr_YnC_GzB8c8UV08FyDp4DG_Q=s88-c-k-c0x00ffffff-no-rj</v>
      </c>
      <c r="G291" s="67"/>
      <c r="H291" s="71" t="s">
        <v>2707</v>
      </c>
      <c r="I291" s="72"/>
      <c r="J291" s="72" t="s">
        <v>159</v>
      </c>
      <c r="K291" s="71" t="s">
        <v>2707</v>
      </c>
      <c r="L291" s="75">
        <v>1</v>
      </c>
      <c r="M291" s="76">
        <v>1941.00390625</v>
      </c>
      <c r="N291" s="76">
        <v>4104.56005859375</v>
      </c>
      <c r="O291" s="77"/>
      <c r="P291" s="78"/>
      <c r="Q291" s="78"/>
      <c r="R291" s="90"/>
      <c r="S291" s="49">
        <v>0</v>
      </c>
      <c r="T291" s="49">
        <v>1</v>
      </c>
      <c r="U291" s="50">
        <v>0</v>
      </c>
      <c r="V291" s="50">
        <v>0.231785</v>
      </c>
      <c r="W291" s="51"/>
      <c r="X291" s="51"/>
      <c r="Y291" s="51"/>
      <c r="Z291" s="50"/>
      <c r="AA291" s="73">
        <v>291</v>
      </c>
      <c r="AB291" s="73"/>
      <c r="AC291" s="74"/>
      <c r="AD291" s="81" t="s">
        <v>2707</v>
      </c>
      <c r="AE291" s="81"/>
      <c r="AF291" s="81"/>
      <c r="AG291" s="81"/>
      <c r="AH291" s="81"/>
      <c r="AI291" s="81" t="s">
        <v>1942</v>
      </c>
      <c r="AJ291" s="88">
        <v>40514.24920138889</v>
      </c>
      <c r="AK291" s="86" t="str">
        <f>HYPERLINK("https://yt3.ggpht.com/ytc/AIf8zZSsajDoU5f0dr_YnC_GzB8c8UV08FyDp4DG_Q=s88-c-k-c0x00ffffff-no-rj")</f>
        <v>https://yt3.ggpht.com/ytc/AIf8zZSsajDoU5f0dr_YnC_GzB8c8UV08FyDp4DG_Q=s88-c-k-c0x00ffffff-no-rj</v>
      </c>
      <c r="AL291" s="81">
        <v>0</v>
      </c>
      <c r="AM291" s="81">
        <v>0</v>
      </c>
      <c r="AN291" s="81">
        <v>0</v>
      </c>
      <c r="AO291" s="81" t="b">
        <v>0</v>
      </c>
      <c r="AP291" s="81">
        <v>0</v>
      </c>
      <c r="AQ291" s="81"/>
      <c r="AR291" s="81"/>
      <c r="AS291" s="81" t="s">
        <v>3378</v>
      </c>
      <c r="AT291" s="86" t="str">
        <f>HYPERLINK("https://www.youtube.com/channel/UCWH44Hv1eb3q340UUvwqGXw")</f>
        <v>https://www.youtube.com/channel/UCWH44Hv1eb3q340UUvwqGXw</v>
      </c>
      <c r="AU291" s="81" t="str">
        <f>REPLACE(INDEX(GroupVertices[Group],MATCH("~"&amp;Vertices[[#This Row],[Vertex]],GroupVertices[Vertex],0)),1,1,"")</f>
        <v>1</v>
      </c>
      <c r="AV291" s="49"/>
      <c r="AW291" s="49"/>
      <c r="AX291" s="49"/>
      <c r="AY291" s="49"/>
      <c r="AZ291" s="49"/>
      <c r="BA291" s="49"/>
      <c r="BB291" s="117" t="s">
        <v>3948</v>
      </c>
      <c r="BC291" s="117" t="s">
        <v>3948</v>
      </c>
      <c r="BD291" s="117" t="s">
        <v>4642</v>
      </c>
      <c r="BE291" s="117" t="s">
        <v>4642</v>
      </c>
      <c r="BF291" s="2"/>
      <c r="BG291" s="3"/>
      <c r="BH291" s="3"/>
      <c r="BI291" s="3"/>
      <c r="BJ291" s="3"/>
    </row>
    <row r="292" spans="1:62" ht="15">
      <c r="A292" s="66" t="s">
        <v>477</v>
      </c>
      <c r="B292" s="67"/>
      <c r="C292" s="67"/>
      <c r="D292" s="68">
        <v>50</v>
      </c>
      <c r="E292" s="70"/>
      <c r="F292" s="105" t="str">
        <f>HYPERLINK("https://yt3.ggpht.com/ytc/AIf8zZSOfhNQibRI75Z9SmAw2PRfmvYLf7cNKUVaGd-94A=s88-c-k-c0x00ffffff-no-rj")</f>
        <v>https://yt3.ggpht.com/ytc/AIf8zZSOfhNQibRI75Z9SmAw2PRfmvYLf7cNKUVaGd-94A=s88-c-k-c0x00ffffff-no-rj</v>
      </c>
      <c r="G292" s="67"/>
      <c r="H292" s="71" t="s">
        <v>2708</v>
      </c>
      <c r="I292" s="72"/>
      <c r="J292" s="72" t="s">
        <v>159</v>
      </c>
      <c r="K292" s="71" t="s">
        <v>2708</v>
      </c>
      <c r="L292" s="75">
        <v>1</v>
      </c>
      <c r="M292" s="76">
        <v>1613.7950439453125</v>
      </c>
      <c r="N292" s="76">
        <v>4136.2275390625</v>
      </c>
      <c r="O292" s="77"/>
      <c r="P292" s="78"/>
      <c r="Q292" s="78"/>
      <c r="R292" s="90"/>
      <c r="S292" s="49">
        <v>0</v>
      </c>
      <c r="T292" s="49">
        <v>1</v>
      </c>
      <c r="U292" s="50">
        <v>0</v>
      </c>
      <c r="V292" s="50">
        <v>0.231785</v>
      </c>
      <c r="W292" s="51"/>
      <c r="X292" s="51"/>
      <c r="Y292" s="51"/>
      <c r="Z292" s="50"/>
      <c r="AA292" s="73">
        <v>292</v>
      </c>
      <c r="AB292" s="73"/>
      <c r="AC292" s="74"/>
      <c r="AD292" s="81" t="s">
        <v>2708</v>
      </c>
      <c r="AE292" s="81"/>
      <c r="AF292" s="81"/>
      <c r="AG292" s="81"/>
      <c r="AH292" s="81"/>
      <c r="AI292" s="81" t="s">
        <v>1943</v>
      </c>
      <c r="AJ292" s="88">
        <v>39989.245150462964</v>
      </c>
      <c r="AK292" s="86" t="str">
        <f>HYPERLINK("https://yt3.ggpht.com/ytc/AIf8zZSOfhNQibRI75Z9SmAw2PRfmvYLf7cNKUVaGd-94A=s88-c-k-c0x00ffffff-no-rj")</f>
        <v>https://yt3.ggpht.com/ytc/AIf8zZSOfhNQibRI75Z9SmAw2PRfmvYLf7cNKUVaGd-94A=s88-c-k-c0x00ffffff-no-rj</v>
      </c>
      <c r="AL292" s="81">
        <v>1569</v>
      </c>
      <c r="AM292" s="81">
        <v>0</v>
      </c>
      <c r="AN292" s="81">
        <v>24</v>
      </c>
      <c r="AO292" s="81" t="b">
        <v>0</v>
      </c>
      <c r="AP292" s="81">
        <v>3</v>
      </c>
      <c r="AQ292" s="81"/>
      <c r="AR292" s="81"/>
      <c r="AS292" s="81" t="s">
        <v>3378</v>
      </c>
      <c r="AT292" s="86" t="str">
        <f>HYPERLINK("https://www.youtube.com/channel/UCXjKc2VsK3tLsPUBn_TjDvQ")</f>
        <v>https://www.youtube.com/channel/UCXjKc2VsK3tLsPUBn_TjDvQ</v>
      </c>
      <c r="AU292" s="81" t="str">
        <f>REPLACE(INDEX(GroupVertices[Group],MATCH("~"&amp;Vertices[[#This Row],[Vertex]],GroupVertices[Vertex],0)),1,1,"")</f>
        <v>1</v>
      </c>
      <c r="AV292" s="49"/>
      <c r="AW292" s="49"/>
      <c r="AX292" s="49"/>
      <c r="AY292" s="49"/>
      <c r="AZ292" s="49"/>
      <c r="BA292" s="49"/>
      <c r="BB292" s="117" t="s">
        <v>3949</v>
      </c>
      <c r="BC292" s="117" t="s">
        <v>3949</v>
      </c>
      <c r="BD292" s="117" t="s">
        <v>4643</v>
      </c>
      <c r="BE292" s="117" t="s">
        <v>4643</v>
      </c>
      <c r="BF292" s="2"/>
      <c r="BG292" s="3"/>
      <c r="BH292" s="3"/>
      <c r="BI292" s="3"/>
      <c r="BJ292" s="3"/>
    </row>
    <row r="293" spans="1:62" ht="15">
      <c r="A293" s="66" t="s">
        <v>478</v>
      </c>
      <c r="B293" s="67"/>
      <c r="C293" s="67"/>
      <c r="D293" s="68">
        <v>50</v>
      </c>
      <c r="E293" s="70"/>
      <c r="F293" s="105" t="str">
        <f>HYPERLINK("https://yt3.ggpht.com/ytc/AIf8zZRQ55c8lFtOZ1CHf0UXRPTB6duUcYP71JNTjIAj=s88-c-k-c0x00ffffff-no-rj")</f>
        <v>https://yt3.ggpht.com/ytc/AIf8zZRQ55c8lFtOZ1CHf0UXRPTB6duUcYP71JNTjIAj=s88-c-k-c0x00ffffff-no-rj</v>
      </c>
      <c r="G293" s="67"/>
      <c r="H293" s="71" t="s">
        <v>2709</v>
      </c>
      <c r="I293" s="72"/>
      <c r="J293" s="72" t="s">
        <v>159</v>
      </c>
      <c r="K293" s="71" t="s">
        <v>2709</v>
      </c>
      <c r="L293" s="75">
        <v>1</v>
      </c>
      <c r="M293" s="76">
        <v>3439.82275390625</v>
      </c>
      <c r="N293" s="76">
        <v>5011.2001953125</v>
      </c>
      <c r="O293" s="77"/>
      <c r="P293" s="78"/>
      <c r="Q293" s="78"/>
      <c r="R293" s="90"/>
      <c r="S293" s="49">
        <v>0</v>
      </c>
      <c r="T293" s="49">
        <v>1</v>
      </c>
      <c r="U293" s="50">
        <v>0</v>
      </c>
      <c r="V293" s="50">
        <v>0.231785</v>
      </c>
      <c r="W293" s="51"/>
      <c r="X293" s="51"/>
      <c r="Y293" s="51"/>
      <c r="Z293" s="50"/>
      <c r="AA293" s="73">
        <v>293</v>
      </c>
      <c r="AB293" s="73"/>
      <c r="AC293" s="74"/>
      <c r="AD293" s="81" t="s">
        <v>2709</v>
      </c>
      <c r="AE293" s="81"/>
      <c r="AF293" s="81"/>
      <c r="AG293" s="81"/>
      <c r="AH293" s="81"/>
      <c r="AI293" s="81" t="s">
        <v>1944</v>
      </c>
      <c r="AJ293" s="88">
        <v>44208.84300925926</v>
      </c>
      <c r="AK293" s="86" t="str">
        <f>HYPERLINK("https://yt3.ggpht.com/ytc/AIf8zZRQ55c8lFtOZ1CHf0UXRPTB6duUcYP71JNTjIAj=s88-c-k-c0x00ffffff-no-rj")</f>
        <v>https://yt3.ggpht.com/ytc/AIf8zZRQ55c8lFtOZ1CHf0UXRPTB6duUcYP71JNTjIAj=s88-c-k-c0x00ffffff-no-rj</v>
      </c>
      <c r="AL293" s="81">
        <v>0</v>
      </c>
      <c r="AM293" s="81">
        <v>0</v>
      </c>
      <c r="AN293" s="81">
        <v>0</v>
      </c>
      <c r="AO293" s="81" t="b">
        <v>0</v>
      </c>
      <c r="AP293" s="81">
        <v>0</v>
      </c>
      <c r="AQ293" s="81"/>
      <c r="AR293" s="81"/>
      <c r="AS293" s="81" t="s">
        <v>3378</v>
      </c>
      <c r="AT293" s="86" t="str">
        <f>HYPERLINK("https://www.youtube.com/channel/UCrX2cOh70pKH72xC97MHfsA")</f>
        <v>https://www.youtube.com/channel/UCrX2cOh70pKH72xC97MHfsA</v>
      </c>
      <c r="AU293" s="81" t="str">
        <f>REPLACE(INDEX(GroupVertices[Group],MATCH("~"&amp;Vertices[[#This Row],[Vertex]],GroupVertices[Vertex],0)),1,1,"")</f>
        <v>1</v>
      </c>
      <c r="AV293" s="49"/>
      <c r="AW293" s="49"/>
      <c r="AX293" s="49"/>
      <c r="AY293" s="49"/>
      <c r="AZ293" s="49"/>
      <c r="BA293" s="49"/>
      <c r="BB293" s="117" t="s">
        <v>3950</v>
      </c>
      <c r="BC293" s="117" t="s">
        <v>3950</v>
      </c>
      <c r="BD293" s="117" t="s">
        <v>4644</v>
      </c>
      <c r="BE293" s="117" t="s">
        <v>4644</v>
      </c>
      <c r="BF293" s="2"/>
      <c r="BG293" s="3"/>
      <c r="BH293" s="3"/>
      <c r="BI293" s="3"/>
      <c r="BJ293" s="3"/>
    </row>
    <row r="294" spans="1:62" ht="15">
      <c r="A294" s="66" t="s">
        <v>479</v>
      </c>
      <c r="B294" s="67"/>
      <c r="C294" s="67"/>
      <c r="D294" s="68">
        <v>50</v>
      </c>
      <c r="E294" s="70"/>
      <c r="F294" s="105" t="str">
        <f>HYPERLINK("https://yt3.ggpht.com/ytc/AIf8zZTuKWz5WFgU7x3k9SzWMGx_78Vb88b1dhJOUDkr=s88-c-k-c0x00ffffff-no-rj")</f>
        <v>https://yt3.ggpht.com/ytc/AIf8zZTuKWz5WFgU7x3k9SzWMGx_78Vb88b1dhJOUDkr=s88-c-k-c0x00ffffff-no-rj</v>
      </c>
      <c r="G294" s="67"/>
      <c r="H294" s="71" t="s">
        <v>2710</v>
      </c>
      <c r="I294" s="72"/>
      <c r="J294" s="72" t="s">
        <v>159</v>
      </c>
      <c r="K294" s="71" t="s">
        <v>2710</v>
      </c>
      <c r="L294" s="75">
        <v>1</v>
      </c>
      <c r="M294" s="76">
        <v>654.059814453125</v>
      </c>
      <c r="N294" s="76">
        <v>6833.6083984375</v>
      </c>
      <c r="O294" s="77"/>
      <c r="P294" s="78"/>
      <c r="Q294" s="78"/>
      <c r="R294" s="90"/>
      <c r="S294" s="49">
        <v>0</v>
      </c>
      <c r="T294" s="49">
        <v>1</v>
      </c>
      <c r="U294" s="50">
        <v>0</v>
      </c>
      <c r="V294" s="50">
        <v>0.231785</v>
      </c>
      <c r="W294" s="51"/>
      <c r="X294" s="51"/>
      <c r="Y294" s="51"/>
      <c r="Z294" s="50"/>
      <c r="AA294" s="73">
        <v>294</v>
      </c>
      <c r="AB294" s="73"/>
      <c r="AC294" s="74"/>
      <c r="AD294" s="81" t="s">
        <v>2710</v>
      </c>
      <c r="AE294" s="81" t="s">
        <v>3168</v>
      </c>
      <c r="AF294" s="81"/>
      <c r="AG294" s="81"/>
      <c r="AH294" s="81"/>
      <c r="AI294" s="81" t="s">
        <v>1945</v>
      </c>
      <c r="AJ294" s="88">
        <v>40397.28959490741</v>
      </c>
      <c r="AK294" s="86" t="str">
        <f>HYPERLINK("https://yt3.ggpht.com/ytc/AIf8zZTuKWz5WFgU7x3k9SzWMGx_78Vb88b1dhJOUDkr=s88-c-k-c0x00ffffff-no-rj")</f>
        <v>https://yt3.ggpht.com/ytc/AIf8zZTuKWz5WFgU7x3k9SzWMGx_78Vb88b1dhJOUDkr=s88-c-k-c0x00ffffff-no-rj</v>
      </c>
      <c r="AL294" s="81">
        <v>254552</v>
      </c>
      <c r="AM294" s="81">
        <v>0</v>
      </c>
      <c r="AN294" s="81">
        <v>2170</v>
      </c>
      <c r="AO294" s="81" t="b">
        <v>0</v>
      </c>
      <c r="AP294" s="81">
        <v>184</v>
      </c>
      <c r="AQ294" s="81"/>
      <c r="AR294" s="81"/>
      <c r="AS294" s="81" t="s">
        <v>3378</v>
      </c>
      <c r="AT294" s="86" t="str">
        <f>HYPERLINK("https://www.youtube.com/channel/UC3Mxp8B5u8aM-lfSaItXJ_A")</f>
        <v>https://www.youtube.com/channel/UC3Mxp8B5u8aM-lfSaItXJ_A</v>
      </c>
      <c r="AU294" s="81" t="str">
        <f>REPLACE(INDEX(GroupVertices[Group],MATCH("~"&amp;Vertices[[#This Row],[Vertex]],GroupVertices[Vertex],0)),1,1,"")</f>
        <v>1</v>
      </c>
      <c r="AV294" s="49"/>
      <c r="AW294" s="49"/>
      <c r="AX294" s="49"/>
      <c r="AY294" s="49"/>
      <c r="AZ294" s="49"/>
      <c r="BA294" s="49"/>
      <c r="BB294" s="117" t="s">
        <v>3951</v>
      </c>
      <c r="BC294" s="117" t="s">
        <v>3951</v>
      </c>
      <c r="BD294" s="117" t="s">
        <v>4645</v>
      </c>
      <c r="BE294" s="117" t="s">
        <v>4645</v>
      </c>
      <c r="BF294" s="2"/>
      <c r="BG294" s="3"/>
      <c r="BH294" s="3"/>
      <c r="BI294" s="3"/>
      <c r="BJ294" s="3"/>
    </row>
    <row r="295" spans="1:62" ht="15">
      <c r="A295" s="66" t="s">
        <v>480</v>
      </c>
      <c r="B295" s="67"/>
      <c r="C295" s="67"/>
      <c r="D295" s="68">
        <v>50</v>
      </c>
      <c r="E295" s="70"/>
      <c r="F295" s="105" t="str">
        <f>HYPERLINK("https://yt3.ggpht.com/ytc/AIf8zZTV2rjbPsTWsIuZuGkfDSkCO6z5Y_JyCbhSRwajSA=s88-c-k-c0x00ffffff-no-rj")</f>
        <v>https://yt3.ggpht.com/ytc/AIf8zZTV2rjbPsTWsIuZuGkfDSkCO6z5Y_JyCbhSRwajSA=s88-c-k-c0x00ffffff-no-rj</v>
      </c>
      <c r="G295" s="67"/>
      <c r="H295" s="71" t="s">
        <v>2711</v>
      </c>
      <c r="I295" s="72"/>
      <c r="J295" s="72" t="s">
        <v>159</v>
      </c>
      <c r="K295" s="71" t="s">
        <v>2711</v>
      </c>
      <c r="L295" s="75">
        <v>1</v>
      </c>
      <c r="M295" s="76">
        <v>2226.9228515625</v>
      </c>
      <c r="N295" s="76">
        <v>9677.83203125</v>
      </c>
      <c r="O295" s="77"/>
      <c r="P295" s="78"/>
      <c r="Q295" s="78"/>
      <c r="R295" s="90"/>
      <c r="S295" s="49">
        <v>0</v>
      </c>
      <c r="T295" s="49">
        <v>1</v>
      </c>
      <c r="U295" s="50">
        <v>0</v>
      </c>
      <c r="V295" s="50">
        <v>0.231785</v>
      </c>
      <c r="W295" s="51"/>
      <c r="X295" s="51"/>
      <c r="Y295" s="51"/>
      <c r="Z295" s="50"/>
      <c r="AA295" s="73">
        <v>295</v>
      </c>
      <c r="AB295" s="73"/>
      <c r="AC295" s="74"/>
      <c r="AD295" s="81" t="s">
        <v>2711</v>
      </c>
      <c r="AE295" s="81"/>
      <c r="AF295" s="81"/>
      <c r="AG295" s="81"/>
      <c r="AH295" s="81"/>
      <c r="AI295" s="81" t="s">
        <v>1946</v>
      </c>
      <c r="AJ295" s="88">
        <v>40826.78487268519</v>
      </c>
      <c r="AK295" s="86" t="str">
        <f>HYPERLINK("https://yt3.ggpht.com/ytc/AIf8zZTV2rjbPsTWsIuZuGkfDSkCO6z5Y_JyCbhSRwajSA=s88-c-k-c0x00ffffff-no-rj")</f>
        <v>https://yt3.ggpht.com/ytc/AIf8zZTV2rjbPsTWsIuZuGkfDSkCO6z5Y_JyCbhSRwajSA=s88-c-k-c0x00ffffff-no-rj</v>
      </c>
      <c r="AL295" s="81">
        <v>0</v>
      </c>
      <c r="AM295" s="81">
        <v>0</v>
      </c>
      <c r="AN295" s="81">
        <v>5</v>
      </c>
      <c r="AO295" s="81" t="b">
        <v>0</v>
      </c>
      <c r="AP295" s="81">
        <v>0</v>
      </c>
      <c r="AQ295" s="81"/>
      <c r="AR295" s="81"/>
      <c r="AS295" s="81" t="s">
        <v>3378</v>
      </c>
      <c r="AT295" s="86" t="str">
        <f>HYPERLINK("https://www.youtube.com/channel/UC5iTVs-0MTyy72Hw6s_TnFw")</f>
        <v>https://www.youtube.com/channel/UC5iTVs-0MTyy72Hw6s_TnFw</v>
      </c>
      <c r="AU295" s="81" t="str">
        <f>REPLACE(INDEX(GroupVertices[Group],MATCH("~"&amp;Vertices[[#This Row],[Vertex]],GroupVertices[Vertex],0)),1,1,"")</f>
        <v>1</v>
      </c>
      <c r="AV295" s="49"/>
      <c r="AW295" s="49"/>
      <c r="AX295" s="49"/>
      <c r="AY295" s="49"/>
      <c r="AZ295" s="49"/>
      <c r="BA295" s="49"/>
      <c r="BB295" s="117" t="s">
        <v>3952</v>
      </c>
      <c r="BC295" s="117" t="s">
        <v>3952</v>
      </c>
      <c r="BD295" s="117" t="s">
        <v>4646</v>
      </c>
      <c r="BE295" s="117" t="s">
        <v>4646</v>
      </c>
      <c r="BF295" s="2"/>
      <c r="BG295" s="3"/>
      <c r="BH295" s="3"/>
      <c r="BI295" s="3"/>
      <c r="BJ295" s="3"/>
    </row>
    <row r="296" spans="1:62" ht="15">
      <c r="A296" s="66" t="s">
        <v>481</v>
      </c>
      <c r="B296" s="67"/>
      <c r="C296" s="67"/>
      <c r="D296" s="68">
        <v>50</v>
      </c>
      <c r="E296" s="70"/>
      <c r="F296" s="105" t="str">
        <f>HYPERLINK("https://yt3.ggpht.com/ytc/AIf8zZSjDeZ6teBrVoyAxd4jpTahtSm1lDXrpNRmKyGsUg=s88-c-k-c0x00ffffff-no-rj")</f>
        <v>https://yt3.ggpht.com/ytc/AIf8zZSjDeZ6teBrVoyAxd4jpTahtSm1lDXrpNRmKyGsUg=s88-c-k-c0x00ffffff-no-rj</v>
      </c>
      <c r="G296" s="67"/>
      <c r="H296" s="71" t="s">
        <v>2712</v>
      </c>
      <c r="I296" s="72"/>
      <c r="J296" s="72" t="s">
        <v>159</v>
      </c>
      <c r="K296" s="71" t="s">
        <v>2712</v>
      </c>
      <c r="L296" s="75">
        <v>1</v>
      </c>
      <c r="M296" s="76">
        <v>1042.55322265625</v>
      </c>
      <c r="N296" s="76">
        <v>4989.3447265625</v>
      </c>
      <c r="O296" s="77"/>
      <c r="P296" s="78"/>
      <c r="Q296" s="78"/>
      <c r="R296" s="90"/>
      <c r="S296" s="49">
        <v>0</v>
      </c>
      <c r="T296" s="49">
        <v>1</v>
      </c>
      <c r="U296" s="50">
        <v>0</v>
      </c>
      <c r="V296" s="50">
        <v>0.231785</v>
      </c>
      <c r="W296" s="51"/>
      <c r="X296" s="51"/>
      <c r="Y296" s="51"/>
      <c r="Z296" s="50"/>
      <c r="AA296" s="73">
        <v>296</v>
      </c>
      <c r="AB296" s="73"/>
      <c r="AC296" s="74"/>
      <c r="AD296" s="81" t="s">
        <v>2712</v>
      </c>
      <c r="AE296" s="81"/>
      <c r="AF296" s="81"/>
      <c r="AG296" s="81"/>
      <c r="AH296" s="81"/>
      <c r="AI296" s="81" t="s">
        <v>1947</v>
      </c>
      <c r="AJ296" s="88">
        <v>41131.926770833335</v>
      </c>
      <c r="AK296" s="86" t="str">
        <f>HYPERLINK("https://yt3.ggpht.com/ytc/AIf8zZSjDeZ6teBrVoyAxd4jpTahtSm1lDXrpNRmKyGsUg=s88-c-k-c0x00ffffff-no-rj")</f>
        <v>https://yt3.ggpht.com/ytc/AIf8zZSjDeZ6teBrVoyAxd4jpTahtSm1lDXrpNRmKyGsUg=s88-c-k-c0x00ffffff-no-rj</v>
      </c>
      <c r="AL296" s="81">
        <v>15</v>
      </c>
      <c r="AM296" s="81">
        <v>0</v>
      </c>
      <c r="AN296" s="81">
        <v>0</v>
      </c>
      <c r="AO296" s="81" t="b">
        <v>0</v>
      </c>
      <c r="AP296" s="81">
        <v>2</v>
      </c>
      <c r="AQ296" s="81"/>
      <c r="AR296" s="81"/>
      <c r="AS296" s="81" t="s">
        <v>3378</v>
      </c>
      <c r="AT296" s="86" t="str">
        <f>HYPERLINK("https://www.youtube.com/channel/UCWudO00TOqPNkIEEsT95PSw")</f>
        <v>https://www.youtube.com/channel/UCWudO00TOqPNkIEEsT95PSw</v>
      </c>
      <c r="AU296" s="81" t="str">
        <f>REPLACE(INDEX(GroupVertices[Group],MATCH("~"&amp;Vertices[[#This Row],[Vertex]],GroupVertices[Vertex],0)),1,1,"")</f>
        <v>1</v>
      </c>
      <c r="AV296" s="49"/>
      <c r="AW296" s="49"/>
      <c r="AX296" s="49"/>
      <c r="AY296" s="49"/>
      <c r="AZ296" s="49"/>
      <c r="BA296" s="49"/>
      <c r="BB296" s="117" t="s">
        <v>3953</v>
      </c>
      <c r="BC296" s="117" t="s">
        <v>3953</v>
      </c>
      <c r="BD296" s="117" t="s">
        <v>4647</v>
      </c>
      <c r="BE296" s="117" t="s">
        <v>4647</v>
      </c>
      <c r="BF296" s="2"/>
      <c r="BG296" s="3"/>
      <c r="BH296" s="3"/>
      <c r="BI296" s="3"/>
      <c r="BJ296" s="3"/>
    </row>
    <row r="297" spans="1:62" ht="15">
      <c r="A297" s="66" t="s">
        <v>482</v>
      </c>
      <c r="B297" s="67"/>
      <c r="C297" s="67"/>
      <c r="D297" s="68">
        <v>50</v>
      </c>
      <c r="E297" s="70"/>
      <c r="F297" s="105" t="str">
        <f>HYPERLINK("https://yt3.ggpht.com/ytc/AIf8zZRX1ZtF-c-jWzM5bwj7tKtl9hSARGXwExBJdAy-uQ=s88-c-k-c0x00ffffff-no-rj")</f>
        <v>https://yt3.ggpht.com/ytc/AIf8zZRX1ZtF-c-jWzM5bwj7tKtl9hSARGXwExBJdAy-uQ=s88-c-k-c0x00ffffff-no-rj</v>
      </c>
      <c r="G297" s="67"/>
      <c r="H297" s="71" t="s">
        <v>2713</v>
      </c>
      <c r="I297" s="72"/>
      <c r="J297" s="72" t="s">
        <v>159</v>
      </c>
      <c r="K297" s="71" t="s">
        <v>2713</v>
      </c>
      <c r="L297" s="75">
        <v>1</v>
      </c>
      <c r="M297" s="76">
        <v>502.596435546875</v>
      </c>
      <c r="N297" s="76">
        <v>8577.6484375</v>
      </c>
      <c r="O297" s="77"/>
      <c r="P297" s="78"/>
      <c r="Q297" s="78"/>
      <c r="R297" s="90"/>
      <c r="S297" s="49">
        <v>0</v>
      </c>
      <c r="T297" s="49">
        <v>1</v>
      </c>
      <c r="U297" s="50">
        <v>0</v>
      </c>
      <c r="V297" s="50">
        <v>0.231785</v>
      </c>
      <c r="W297" s="51"/>
      <c r="X297" s="51"/>
      <c r="Y297" s="51"/>
      <c r="Z297" s="50"/>
      <c r="AA297" s="73">
        <v>297</v>
      </c>
      <c r="AB297" s="73"/>
      <c r="AC297" s="74"/>
      <c r="AD297" s="81" t="s">
        <v>2713</v>
      </c>
      <c r="AE297" s="81"/>
      <c r="AF297" s="81"/>
      <c r="AG297" s="81"/>
      <c r="AH297" s="81"/>
      <c r="AI297" s="81" t="s">
        <v>1948</v>
      </c>
      <c r="AJ297" s="88">
        <v>39458.187523148146</v>
      </c>
      <c r="AK297" s="86" t="str">
        <f>HYPERLINK("https://yt3.ggpht.com/ytc/AIf8zZRX1ZtF-c-jWzM5bwj7tKtl9hSARGXwExBJdAy-uQ=s88-c-k-c0x00ffffff-no-rj")</f>
        <v>https://yt3.ggpht.com/ytc/AIf8zZRX1ZtF-c-jWzM5bwj7tKtl9hSARGXwExBJdAy-uQ=s88-c-k-c0x00ffffff-no-rj</v>
      </c>
      <c r="AL297" s="81">
        <v>1515</v>
      </c>
      <c r="AM297" s="81">
        <v>0</v>
      </c>
      <c r="AN297" s="81">
        <v>7</v>
      </c>
      <c r="AO297" s="81" t="b">
        <v>0</v>
      </c>
      <c r="AP297" s="81">
        <v>11</v>
      </c>
      <c r="AQ297" s="81"/>
      <c r="AR297" s="81"/>
      <c r="AS297" s="81" t="s">
        <v>3378</v>
      </c>
      <c r="AT297" s="86" t="str">
        <f>HYPERLINK("https://www.youtube.com/channel/UCSS1ceUwp8E2wu2LVYqrSJg")</f>
        <v>https://www.youtube.com/channel/UCSS1ceUwp8E2wu2LVYqrSJg</v>
      </c>
      <c r="AU297" s="81" t="str">
        <f>REPLACE(INDEX(GroupVertices[Group],MATCH("~"&amp;Vertices[[#This Row],[Vertex]],GroupVertices[Vertex],0)),1,1,"")</f>
        <v>1</v>
      </c>
      <c r="AV297" s="49"/>
      <c r="AW297" s="49"/>
      <c r="AX297" s="49"/>
      <c r="AY297" s="49"/>
      <c r="AZ297" s="49"/>
      <c r="BA297" s="49"/>
      <c r="BB297" s="117" t="s">
        <v>3954</v>
      </c>
      <c r="BC297" s="117" t="s">
        <v>3954</v>
      </c>
      <c r="BD297" s="117" t="s">
        <v>4648</v>
      </c>
      <c r="BE297" s="117" t="s">
        <v>4648</v>
      </c>
      <c r="BF297" s="2"/>
      <c r="BG297" s="3"/>
      <c r="BH297" s="3"/>
      <c r="BI297" s="3"/>
      <c r="BJ297" s="3"/>
    </row>
    <row r="298" spans="1:62" ht="15">
      <c r="A298" s="66" t="s">
        <v>483</v>
      </c>
      <c r="B298" s="67"/>
      <c r="C298" s="67"/>
      <c r="D298" s="68">
        <v>50</v>
      </c>
      <c r="E298" s="70"/>
      <c r="F298" s="105" t="str">
        <f>HYPERLINK("https://yt3.ggpht.com/ytc/AIf8zZQ4mtmmireGWRn67gjcmA_uYDi8A8qQSUjo6Rhgzg=s88-c-k-c0x00ffffff-no-rj")</f>
        <v>https://yt3.ggpht.com/ytc/AIf8zZQ4mtmmireGWRn67gjcmA_uYDi8A8qQSUjo6Rhgzg=s88-c-k-c0x00ffffff-no-rj</v>
      </c>
      <c r="G298" s="67"/>
      <c r="H298" s="71" t="s">
        <v>2714</v>
      </c>
      <c r="I298" s="72"/>
      <c r="J298" s="72" t="s">
        <v>159</v>
      </c>
      <c r="K298" s="71" t="s">
        <v>2714</v>
      </c>
      <c r="L298" s="75">
        <v>1</v>
      </c>
      <c r="M298" s="76">
        <v>1991.4654541015625</v>
      </c>
      <c r="N298" s="76">
        <v>9700.4345703125</v>
      </c>
      <c r="O298" s="77"/>
      <c r="P298" s="78"/>
      <c r="Q298" s="78"/>
      <c r="R298" s="90"/>
      <c r="S298" s="49">
        <v>0</v>
      </c>
      <c r="T298" s="49">
        <v>1</v>
      </c>
      <c r="U298" s="50">
        <v>0</v>
      </c>
      <c r="V298" s="50">
        <v>0.231785</v>
      </c>
      <c r="W298" s="51"/>
      <c r="X298" s="51"/>
      <c r="Y298" s="51"/>
      <c r="Z298" s="50"/>
      <c r="AA298" s="73">
        <v>298</v>
      </c>
      <c r="AB298" s="73"/>
      <c r="AC298" s="74"/>
      <c r="AD298" s="81" t="s">
        <v>2714</v>
      </c>
      <c r="AE298" s="81" t="s">
        <v>3169</v>
      </c>
      <c r="AF298" s="81"/>
      <c r="AG298" s="81"/>
      <c r="AH298" s="81"/>
      <c r="AI298" s="81" t="s">
        <v>1949</v>
      </c>
      <c r="AJ298" s="88">
        <v>40286.40460648148</v>
      </c>
      <c r="AK298" s="86" t="str">
        <f>HYPERLINK("https://yt3.ggpht.com/ytc/AIf8zZQ4mtmmireGWRn67gjcmA_uYDi8A8qQSUjo6Rhgzg=s88-c-k-c0x00ffffff-no-rj")</f>
        <v>https://yt3.ggpht.com/ytc/AIf8zZQ4mtmmireGWRn67gjcmA_uYDi8A8qQSUjo6Rhgzg=s88-c-k-c0x00ffffff-no-rj</v>
      </c>
      <c r="AL298" s="81">
        <v>0</v>
      </c>
      <c r="AM298" s="81">
        <v>0</v>
      </c>
      <c r="AN298" s="81">
        <v>21</v>
      </c>
      <c r="AO298" s="81" t="b">
        <v>0</v>
      </c>
      <c r="AP298" s="81">
        <v>0</v>
      </c>
      <c r="AQ298" s="81"/>
      <c r="AR298" s="81"/>
      <c r="AS298" s="81" t="s">
        <v>3378</v>
      </c>
      <c r="AT298" s="86" t="str">
        <f>HYPERLINK("https://www.youtube.com/channel/UCF6yTL7Q32JD9XY6t0RPlFQ")</f>
        <v>https://www.youtube.com/channel/UCF6yTL7Q32JD9XY6t0RPlFQ</v>
      </c>
      <c r="AU298" s="81" t="str">
        <f>REPLACE(INDEX(GroupVertices[Group],MATCH("~"&amp;Vertices[[#This Row],[Vertex]],GroupVertices[Vertex],0)),1,1,"")</f>
        <v>1</v>
      </c>
      <c r="AV298" s="49"/>
      <c r="AW298" s="49"/>
      <c r="AX298" s="49"/>
      <c r="AY298" s="49"/>
      <c r="AZ298" s="49"/>
      <c r="BA298" s="49"/>
      <c r="BB298" s="117" t="s">
        <v>3955</v>
      </c>
      <c r="BC298" s="117" t="s">
        <v>3955</v>
      </c>
      <c r="BD298" s="117" t="s">
        <v>4649</v>
      </c>
      <c r="BE298" s="117" t="s">
        <v>4649</v>
      </c>
      <c r="BF298" s="2"/>
      <c r="BG298" s="3"/>
      <c r="BH298" s="3"/>
      <c r="BI298" s="3"/>
      <c r="BJ298" s="3"/>
    </row>
    <row r="299" spans="1:62" ht="15">
      <c r="A299" s="66" t="s">
        <v>484</v>
      </c>
      <c r="B299" s="67"/>
      <c r="C299" s="67"/>
      <c r="D299" s="68">
        <v>50</v>
      </c>
      <c r="E299" s="70"/>
      <c r="F299" s="105" t="str">
        <f>HYPERLINK("https://yt3.ggpht.com/ytc/AIf8zZQ11jkByB6amTtoow7csJILp55vuagb5CCyeA=s88-c-k-c0x00ffffff-no-rj")</f>
        <v>https://yt3.ggpht.com/ytc/AIf8zZQ11jkByB6amTtoow7csJILp55vuagb5CCyeA=s88-c-k-c0x00ffffff-no-rj</v>
      </c>
      <c r="G299" s="67"/>
      <c r="H299" s="71" t="s">
        <v>2715</v>
      </c>
      <c r="I299" s="72"/>
      <c r="J299" s="72" t="s">
        <v>159</v>
      </c>
      <c r="K299" s="71" t="s">
        <v>2715</v>
      </c>
      <c r="L299" s="75">
        <v>1</v>
      </c>
      <c r="M299" s="76">
        <v>1352.515380859375</v>
      </c>
      <c r="N299" s="76">
        <v>7969.685546875</v>
      </c>
      <c r="O299" s="77"/>
      <c r="P299" s="78"/>
      <c r="Q299" s="78"/>
      <c r="R299" s="90"/>
      <c r="S299" s="49">
        <v>0</v>
      </c>
      <c r="T299" s="49">
        <v>1</v>
      </c>
      <c r="U299" s="50">
        <v>0</v>
      </c>
      <c r="V299" s="50">
        <v>0.231785</v>
      </c>
      <c r="W299" s="51"/>
      <c r="X299" s="51"/>
      <c r="Y299" s="51"/>
      <c r="Z299" s="50"/>
      <c r="AA299" s="73">
        <v>299</v>
      </c>
      <c r="AB299" s="73"/>
      <c r="AC299" s="74"/>
      <c r="AD299" s="81" t="s">
        <v>2715</v>
      </c>
      <c r="AE299" s="81"/>
      <c r="AF299" s="81"/>
      <c r="AG299" s="81"/>
      <c r="AH299" s="81"/>
      <c r="AI299" s="81" t="s">
        <v>1950</v>
      </c>
      <c r="AJ299" s="88">
        <v>44013.40113425926</v>
      </c>
      <c r="AK299" s="86" t="str">
        <f>HYPERLINK("https://yt3.ggpht.com/ytc/AIf8zZQ11jkByB6amTtoow7csJILp55vuagb5CCyeA=s88-c-k-c0x00ffffff-no-rj")</f>
        <v>https://yt3.ggpht.com/ytc/AIf8zZQ11jkByB6amTtoow7csJILp55vuagb5CCyeA=s88-c-k-c0x00ffffff-no-rj</v>
      </c>
      <c r="AL299" s="81">
        <v>0</v>
      </c>
      <c r="AM299" s="81">
        <v>0</v>
      </c>
      <c r="AN299" s="81">
        <v>3</v>
      </c>
      <c r="AO299" s="81" t="b">
        <v>0</v>
      </c>
      <c r="AP299" s="81">
        <v>0</v>
      </c>
      <c r="AQ299" s="81"/>
      <c r="AR299" s="81"/>
      <c r="AS299" s="81" t="s">
        <v>3378</v>
      </c>
      <c r="AT299" s="86" t="str">
        <f>HYPERLINK("https://www.youtube.com/channel/UCCbmzO8LA8erJ2y5alw2v7w")</f>
        <v>https://www.youtube.com/channel/UCCbmzO8LA8erJ2y5alw2v7w</v>
      </c>
      <c r="AU299" s="81" t="str">
        <f>REPLACE(INDEX(GroupVertices[Group],MATCH("~"&amp;Vertices[[#This Row],[Vertex]],GroupVertices[Vertex],0)),1,1,"")</f>
        <v>1</v>
      </c>
      <c r="AV299" s="49" t="s">
        <v>3672</v>
      </c>
      <c r="AW299" s="49" t="s">
        <v>3672</v>
      </c>
      <c r="AX299" s="49" t="s">
        <v>3680</v>
      </c>
      <c r="AY299" s="49" t="s">
        <v>3680</v>
      </c>
      <c r="AZ299" s="49"/>
      <c r="BA299" s="49"/>
      <c r="BB299" s="117" t="s">
        <v>3956</v>
      </c>
      <c r="BC299" s="117" t="s">
        <v>3956</v>
      </c>
      <c r="BD299" s="117" t="s">
        <v>4650</v>
      </c>
      <c r="BE299" s="117" t="s">
        <v>4650</v>
      </c>
      <c r="BF299" s="2"/>
      <c r="BG299" s="3"/>
      <c r="BH299" s="3"/>
      <c r="BI299" s="3"/>
      <c r="BJ299" s="3"/>
    </row>
    <row r="300" spans="1:62" ht="15">
      <c r="A300" s="66" t="s">
        <v>485</v>
      </c>
      <c r="B300" s="67"/>
      <c r="C300" s="67"/>
      <c r="D300" s="68">
        <v>50</v>
      </c>
      <c r="E300" s="70"/>
      <c r="F300" s="105" t="str">
        <f>HYPERLINK("https://yt3.ggpht.com/ytc/AIf8zZSCvjuP_3xoQS9iQHWtCmmsM71__xjMirUsrQ=s88-c-k-c0x00ffffff-no-rj")</f>
        <v>https://yt3.ggpht.com/ytc/AIf8zZSCvjuP_3xoQS9iQHWtCmmsM71__xjMirUsrQ=s88-c-k-c0x00ffffff-no-rj</v>
      </c>
      <c r="G300" s="67"/>
      <c r="H300" s="71" t="s">
        <v>2716</v>
      </c>
      <c r="I300" s="72"/>
      <c r="J300" s="72" t="s">
        <v>159</v>
      </c>
      <c r="K300" s="71" t="s">
        <v>2716</v>
      </c>
      <c r="L300" s="75">
        <v>1</v>
      </c>
      <c r="M300" s="76">
        <v>361.4422302246094</v>
      </c>
      <c r="N300" s="76">
        <v>5916.39208984375</v>
      </c>
      <c r="O300" s="77"/>
      <c r="P300" s="78"/>
      <c r="Q300" s="78"/>
      <c r="R300" s="90"/>
      <c r="S300" s="49">
        <v>0</v>
      </c>
      <c r="T300" s="49">
        <v>1</v>
      </c>
      <c r="U300" s="50">
        <v>0</v>
      </c>
      <c r="V300" s="50">
        <v>0.231785</v>
      </c>
      <c r="W300" s="51"/>
      <c r="X300" s="51"/>
      <c r="Y300" s="51"/>
      <c r="Z300" s="50"/>
      <c r="AA300" s="73">
        <v>300</v>
      </c>
      <c r="AB300" s="73"/>
      <c r="AC300" s="74"/>
      <c r="AD300" s="81" t="s">
        <v>2716</v>
      </c>
      <c r="AE300" s="81"/>
      <c r="AF300" s="81"/>
      <c r="AG300" s="81"/>
      <c r="AH300" s="81"/>
      <c r="AI300" s="81" t="s">
        <v>1951</v>
      </c>
      <c r="AJ300" s="88">
        <v>41323.583078703705</v>
      </c>
      <c r="AK300" s="86" t="str">
        <f>HYPERLINK("https://yt3.ggpht.com/ytc/AIf8zZSCvjuP_3xoQS9iQHWtCmmsM71__xjMirUsrQ=s88-c-k-c0x00ffffff-no-rj")</f>
        <v>https://yt3.ggpht.com/ytc/AIf8zZSCvjuP_3xoQS9iQHWtCmmsM71__xjMirUsrQ=s88-c-k-c0x00ffffff-no-rj</v>
      </c>
      <c r="AL300" s="81">
        <v>0</v>
      </c>
      <c r="AM300" s="81">
        <v>0</v>
      </c>
      <c r="AN300" s="81">
        <v>0</v>
      </c>
      <c r="AO300" s="81" t="b">
        <v>0</v>
      </c>
      <c r="AP300" s="81">
        <v>0</v>
      </c>
      <c r="AQ300" s="81"/>
      <c r="AR300" s="81"/>
      <c r="AS300" s="81" t="s">
        <v>3378</v>
      </c>
      <c r="AT300" s="86" t="str">
        <f>HYPERLINK("https://www.youtube.com/channel/UCloStMCyhM7LPabUMkbFyzg")</f>
        <v>https://www.youtube.com/channel/UCloStMCyhM7LPabUMkbFyzg</v>
      </c>
      <c r="AU300" s="81" t="str">
        <f>REPLACE(INDEX(GroupVertices[Group],MATCH("~"&amp;Vertices[[#This Row],[Vertex]],GroupVertices[Vertex],0)),1,1,"")</f>
        <v>1</v>
      </c>
      <c r="AV300" s="49"/>
      <c r="AW300" s="49"/>
      <c r="AX300" s="49"/>
      <c r="AY300" s="49"/>
      <c r="AZ300" s="49"/>
      <c r="BA300" s="49"/>
      <c r="BB300" s="117" t="s">
        <v>3957</v>
      </c>
      <c r="BC300" s="117" t="s">
        <v>3957</v>
      </c>
      <c r="BD300" s="117" t="s">
        <v>4651</v>
      </c>
      <c r="BE300" s="117" t="s">
        <v>4651</v>
      </c>
      <c r="BF300" s="2"/>
      <c r="BG300" s="3"/>
      <c r="BH300" s="3"/>
      <c r="BI300" s="3"/>
      <c r="BJ300" s="3"/>
    </row>
    <row r="301" spans="1:62" ht="15">
      <c r="A301" s="66" t="s">
        <v>486</v>
      </c>
      <c r="B301" s="67"/>
      <c r="C301" s="67"/>
      <c r="D301" s="68">
        <v>50</v>
      </c>
      <c r="E301" s="70"/>
      <c r="F301" s="105" t="str">
        <f>HYPERLINK("https://yt3.ggpht.com/ytc/AIf8zZQuJI4f1B2gUxSGddeU_3iid3oYop2ydmbcg23J=s88-c-k-c0x00ffffff-no-rj")</f>
        <v>https://yt3.ggpht.com/ytc/AIf8zZQuJI4f1B2gUxSGddeU_3iid3oYop2ydmbcg23J=s88-c-k-c0x00ffffff-no-rj</v>
      </c>
      <c r="G301" s="67"/>
      <c r="H301" s="71" t="s">
        <v>2717</v>
      </c>
      <c r="I301" s="72"/>
      <c r="J301" s="72" t="s">
        <v>159</v>
      </c>
      <c r="K301" s="71" t="s">
        <v>2717</v>
      </c>
      <c r="L301" s="75">
        <v>1</v>
      </c>
      <c r="M301" s="76">
        <v>2741.799560546875</v>
      </c>
      <c r="N301" s="76">
        <v>9269.904296875</v>
      </c>
      <c r="O301" s="77"/>
      <c r="P301" s="78"/>
      <c r="Q301" s="78"/>
      <c r="R301" s="90"/>
      <c r="S301" s="49">
        <v>0</v>
      </c>
      <c r="T301" s="49">
        <v>1</v>
      </c>
      <c r="U301" s="50">
        <v>0</v>
      </c>
      <c r="V301" s="50">
        <v>0.231785</v>
      </c>
      <c r="W301" s="51"/>
      <c r="X301" s="51"/>
      <c r="Y301" s="51"/>
      <c r="Z301" s="50"/>
      <c r="AA301" s="73">
        <v>301</v>
      </c>
      <c r="AB301" s="73"/>
      <c r="AC301" s="74"/>
      <c r="AD301" s="81" t="s">
        <v>2717</v>
      </c>
      <c r="AE301" s="81"/>
      <c r="AF301" s="81"/>
      <c r="AG301" s="81"/>
      <c r="AH301" s="81"/>
      <c r="AI301" s="81" t="s">
        <v>3289</v>
      </c>
      <c r="AJ301" s="88">
        <v>42405.45655092593</v>
      </c>
      <c r="AK301" s="86" t="str">
        <f>HYPERLINK("https://yt3.ggpht.com/ytc/AIf8zZQuJI4f1B2gUxSGddeU_3iid3oYop2ydmbcg23J=s88-c-k-c0x00ffffff-no-rj")</f>
        <v>https://yt3.ggpht.com/ytc/AIf8zZQuJI4f1B2gUxSGddeU_3iid3oYop2ydmbcg23J=s88-c-k-c0x00ffffff-no-rj</v>
      </c>
      <c r="AL301" s="81">
        <v>0</v>
      </c>
      <c r="AM301" s="81">
        <v>0</v>
      </c>
      <c r="AN301" s="81">
        <v>32</v>
      </c>
      <c r="AO301" s="81" t="b">
        <v>0</v>
      </c>
      <c r="AP301" s="81">
        <v>0</v>
      </c>
      <c r="AQ301" s="81"/>
      <c r="AR301" s="81"/>
      <c r="AS301" s="81" t="s">
        <v>3378</v>
      </c>
      <c r="AT301" s="86" t="str">
        <f>HYPERLINK("https://www.youtube.com/channel/UCIHQQ1mJkGjPNxCzuz_lfaw")</f>
        <v>https://www.youtube.com/channel/UCIHQQ1mJkGjPNxCzuz_lfaw</v>
      </c>
      <c r="AU301" s="81" t="str">
        <f>REPLACE(INDEX(GroupVertices[Group],MATCH("~"&amp;Vertices[[#This Row],[Vertex]],GroupVertices[Vertex],0)),1,1,"")</f>
        <v>1</v>
      </c>
      <c r="AV301" s="49"/>
      <c r="AW301" s="49"/>
      <c r="AX301" s="49"/>
      <c r="AY301" s="49"/>
      <c r="AZ301" s="49"/>
      <c r="BA301" s="49"/>
      <c r="BB301" s="117" t="s">
        <v>3958</v>
      </c>
      <c r="BC301" s="117" t="s">
        <v>3958</v>
      </c>
      <c r="BD301" s="117" t="s">
        <v>4652</v>
      </c>
      <c r="BE301" s="117" t="s">
        <v>4652</v>
      </c>
      <c r="BF301" s="2"/>
      <c r="BG301" s="3"/>
      <c r="BH301" s="3"/>
      <c r="BI301" s="3"/>
      <c r="BJ301" s="3"/>
    </row>
    <row r="302" spans="1:62" ht="15">
      <c r="A302" s="66" t="s">
        <v>487</v>
      </c>
      <c r="B302" s="67"/>
      <c r="C302" s="67"/>
      <c r="D302" s="68">
        <v>50</v>
      </c>
      <c r="E302" s="70"/>
      <c r="F302" s="105" t="str">
        <f>HYPERLINK("https://yt3.ggpht.com/ytc/AIf8zZQbXJlLR7DfuAxEHJnhBb_TQkDIcLi7YgdvRg=s88-c-k-c0x00ffffff-no-rj")</f>
        <v>https://yt3.ggpht.com/ytc/AIf8zZQbXJlLR7DfuAxEHJnhBb_TQkDIcLi7YgdvRg=s88-c-k-c0x00ffffff-no-rj</v>
      </c>
      <c r="G302" s="67"/>
      <c r="H302" s="71" t="s">
        <v>2718</v>
      </c>
      <c r="I302" s="72"/>
      <c r="J302" s="72" t="s">
        <v>159</v>
      </c>
      <c r="K302" s="71" t="s">
        <v>2718</v>
      </c>
      <c r="L302" s="75">
        <v>1</v>
      </c>
      <c r="M302" s="76">
        <v>3422.49609375</v>
      </c>
      <c r="N302" s="76">
        <v>8327.2880859375</v>
      </c>
      <c r="O302" s="77"/>
      <c r="P302" s="78"/>
      <c r="Q302" s="78"/>
      <c r="R302" s="90"/>
      <c r="S302" s="49">
        <v>0</v>
      </c>
      <c r="T302" s="49">
        <v>1</v>
      </c>
      <c r="U302" s="50">
        <v>0</v>
      </c>
      <c r="V302" s="50">
        <v>0.231785</v>
      </c>
      <c r="W302" s="51"/>
      <c r="X302" s="51"/>
      <c r="Y302" s="51"/>
      <c r="Z302" s="50"/>
      <c r="AA302" s="73">
        <v>302</v>
      </c>
      <c r="AB302" s="73"/>
      <c r="AC302" s="74"/>
      <c r="AD302" s="81" t="s">
        <v>2718</v>
      </c>
      <c r="AE302" s="81"/>
      <c r="AF302" s="81"/>
      <c r="AG302" s="81"/>
      <c r="AH302" s="81"/>
      <c r="AI302" s="81" t="s">
        <v>1953</v>
      </c>
      <c r="AJ302" s="88">
        <v>40816.664675925924</v>
      </c>
      <c r="AK302" s="86" t="str">
        <f>HYPERLINK("https://yt3.ggpht.com/ytc/AIf8zZQbXJlLR7DfuAxEHJnhBb_TQkDIcLi7YgdvRg=s88-c-k-c0x00ffffff-no-rj")</f>
        <v>https://yt3.ggpht.com/ytc/AIf8zZQbXJlLR7DfuAxEHJnhBb_TQkDIcLi7YgdvRg=s88-c-k-c0x00ffffff-no-rj</v>
      </c>
      <c r="AL302" s="81">
        <v>0</v>
      </c>
      <c r="AM302" s="81">
        <v>0</v>
      </c>
      <c r="AN302" s="81">
        <v>0</v>
      </c>
      <c r="AO302" s="81" t="b">
        <v>0</v>
      </c>
      <c r="AP302" s="81">
        <v>0</v>
      </c>
      <c r="AQ302" s="81"/>
      <c r="AR302" s="81"/>
      <c r="AS302" s="81" t="s">
        <v>3378</v>
      </c>
      <c r="AT302" s="86" t="str">
        <f>HYPERLINK("https://www.youtube.com/channel/UCqNxfdWj9vsQdR6jtQAfWxA")</f>
        <v>https://www.youtube.com/channel/UCqNxfdWj9vsQdR6jtQAfWxA</v>
      </c>
      <c r="AU302" s="81" t="str">
        <f>REPLACE(INDEX(GroupVertices[Group],MATCH("~"&amp;Vertices[[#This Row],[Vertex]],GroupVertices[Vertex],0)),1,1,"")</f>
        <v>1</v>
      </c>
      <c r="AV302" s="49"/>
      <c r="AW302" s="49"/>
      <c r="AX302" s="49"/>
      <c r="AY302" s="49"/>
      <c r="AZ302" s="49"/>
      <c r="BA302" s="49"/>
      <c r="BB302" s="117" t="s">
        <v>3959</v>
      </c>
      <c r="BC302" s="117" t="s">
        <v>3959</v>
      </c>
      <c r="BD302" s="117" t="s">
        <v>4653</v>
      </c>
      <c r="BE302" s="117" t="s">
        <v>4653</v>
      </c>
      <c r="BF302" s="2"/>
      <c r="BG302" s="3"/>
      <c r="BH302" s="3"/>
      <c r="BI302" s="3"/>
      <c r="BJ302" s="3"/>
    </row>
    <row r="303" spans="1:62" ht="15">
      <c r="A303" s="66" t="s">
        <v>488</v>
      </c>
      <c r="B303" s="67"/>
      <c r="C303" s="67"/>
      <c r="D303" s="68">
        <v>50</v>
      </c>
      <c r="E303" s="70"/>
      <c r="F303" s="105" t="str">
        <f>HYPERLINK("https://yt3.ggpht.com/ytc/AIf8zZQtHmztqy0em3D2Gfnm3qQs3OJKF9AXzidQyA=s88-c-k-c0x00ffffff-no-rj")</f>
        <v>https://yt3.ggpht.com/ytc/AIf8zZQtHmztqy0em3D2Gfnm3qQs3OJKF9AXzidQyA=s88-c-k-c0x00ffffff-no-rj</v>
      </c>
      <c r="G303" s="67"/>
      <c r="H303" s="71" t="s">
        <v>2719</v>
      </c>
      <c r="I303" s="72"/>
      <c r="J303" s="72" t="s">
        <v>159</v>
      </c>
      <c r="K303" s="71" t="s">
        <v>2719</v>
      </c>
      <c r="L303" s="75">
        <v>1</v>
      </c>
      <c r="M303" s="76">
        <v>2961.508056640625</v>
      </c>
      <c r="N303" s="76">
        <v>9353.4970703125</v>
      </c>
      <c r="O303" s="77"/>
      <c r="P303" s="78"/>
      <c r="Q303" s="78"/>
      <c r="R303" s="90"/>
      <c r="S303" s="49">
        <v>0</v>
      </c>
      <c r="T303" s="49">
        <v>1</v>
      </c>
      <c r="U303" s="50">
        <v>0</v>
      </c>
      <c r="V303" s="50">
        <v>0.231785</v>
      </c>
      <c r="W303" s="51"/>
      <c r="X303" s="51"/>
      <c r="Y303" s="51"/>
      <c r="Z303" s="50"/>
      <c r="AA303" s="73">
        <v>303</v>
      </c>
      <c r="AB303" s="73"/>
      <c r="AC303" s="74"/>
      <c r="AD303" s="81" t="s">
        <v>2719</v>
      </c>
      <c r="AE303" s="81"/>
      <c r="AF303" s="81"/>
      <c r="AG303" s="81"/>
      <c r="AH303" s="81"/>
      <c r="AI303" s="81" t="s">
        <v>1954</v>
      </c>
      <c r="AJ303" s="88">
        <v>41237.185590277775</v>
      </c>
      <c r="AK303" s="86" t="str">
        <f>HYPERLINK("https://yt3.ggpht.com/ytc/AIf8zZQtHmztqy0em3D2Gfnm3qQs3OJKF9AXzidQyA=s88-c-k-c0x00ffffff-no-rj")</f>
        <v>https://yt3.ggpht.com/ytc/AIf8zZQtHmztqy0em3D2Gfnm3qQs3OJKF9AXzidQyA=s88-c-k-c0x00ffffff-no-rj</v>
      </c>
      <c r="AL303" s="81">
        <v>0</v>
      </c>
      <c r="AM303" s="81">
        <v>0</v>
      </c>
      <c r="AN303" s="81">
        <v>1</v>
      </c>
      <c r="AO303" s="81" t="b">
        <v>0</v>
      </c>
      <c r="AP303" s="81">
        <v>0</v>
      </c>
      <c r="AQ303" s="81"/>
      <c r="AR303" s="81"/>
      <c r="AS303" s="81" t="s">
        <v>3378</v>
      </c>
      <c r="AT303" s="86" t="str">
        <f>HYPERLINK("https://www.youtube.com/channel/UC6scaA6PhjYvUhmVfrERSoQ")</f>
        <v>https://www.youtube.com/channel/UC6scaA6PhjYvUhmVfrERSoQ</v>
      </c>
      <c r="AU303" s="81" t="str">
        <f>REPLACE(INDEX(GroupVertices[Group],MATCH("~"&amp;Vertices[[#This Row],[Vertex]],GroupVertices[Vertex],0)),1,1,"")</f>
        <v>1</v>
      </c>
      <c r="AV303" s="49"/>
      <c r="AW303" s="49"/>
      <c r="AX303" s="49"/>
      <c r="AY303" s="49"/>
      <c r="AZ303" s="49"/>
      <c r="BA303" s="49"/>
      <c r="BB303" s="117" t="s">
        <v>3960</v>
      </c>
      <c r="BC303" s="117" t="s">
        <v>3960</v>
      </c>
      <c r="BD303" s="117" t="s">
        <v>4654</v>
      </c>
      <c r="BE303" s="117" t="s">
        <v>4654</v>
      </c>
      <c r="BF303" s="2"/>
      <c r="BG303" s="3"/>
      <c r="BH303" s="3"/>
      <c r="BI303" s="3"/>
      <c r="BJ303" s="3"/>
    </row>
    <row r="304" spans="1:62" ht="15">
      <c r="A304" s="66" t="s">
        <v>489</v>
      </c>
      <c r="B304" s="67"/>
      <c r="C304" s="67"/>
      <c r="D304" s="68">
        <v>50</v>
      </c>
      <c r="E304" s="70"/>
      <c r="F304" s="105" t="str">
        <f>HYPERLINK("https://yt3.ggpht.com/zw3XWeUWDrm36qPwChSzXYS2md2xpFuX11ObdJqFNEloKKwlh31C1NaBrHgyPqGwadWuYgeC6g=s88-c-k-c0x00ffffff-no-rj")</f>
        <v>https://yt3.ggpht.com/zw3XWeUWDrm36qPwChSzXYS2md2xpFuX11ObdJqFNEloKKwlh31C1NaBrHgyPqGwadWuYgeC6g=s88-c-k-c0x00ffffff-no-rj</v>
      </c>
      <c r="G304" s="67"/>
      <c r="H304" s="71" t="s">
        <v>2720</v>
      </c>
      <c r="I304" s="72"/>
      <c r="J304" s="72" t="s">
        <v>159</v>
      </c>
      <c r="K304" s="71" t="s">
        <v>2720</v>
      </c>
      <c r="L304" s="75">
        <v>1</v>
      </c>
      <c r="M304" s="76">
        <v>622.9067993164062</v>
      </c>
      <c r="N304" s="76">
        <v>7462.138671875</v>
      </c>
      <c r="O304" s="77"/>
      <c r="P304" s="78"/>
      <c r="Q304" s="78"/>
      <c r="R304" s="90"/>
      <c r="S304" s="49">
        <v>0</v>
      </c>
      <c r="T304" s="49">
        <v>1</v>
      </c>
      <c r="U304" s="50">
        <v>0</v>
      </c>
      <c r="V304" s="50">
        <v>0.231785</v>
      </c>
      <c r="W304" s="51"/>
      <c r="X304" s="51"/>
      <c r="Y304" s="51"/>
      <c r="Z304" s="50"/>
      <c r="AA304" s="73">
        <v>304</v>
      </c>
      <c r="AB304" s="73"/>
      <c r="AC304" s="74"/>
      <c r="AD304" s="81" t="s">
        <v>2720</v>
      </c>
      <c r="AE304" s="81"/>
      <c r="AF304" s="81"/>
      <c r="AG304" s="81"/>
      <c r="AH304" s="81"/>
      <c r="AI304" s="81" t="s">
        <v>3290</v>
      </c>
      <c r="AJ304" s="88">
        <v>43835.86383101852</v>
      </c>
      <c r="AK304" s="86" t="str">
        <f>HYPERLINK("https://yt3.ggpht.com/zw3XWeUWDrm36qPwChSzXYS2md2xpFuX11ObdJqFNEloKKwlh31C1NaBrHgyPqGwadWuYgeC6g=s88-c-k-c0x00ffffff-no-rj")</f>
        <v>https://yt3.ggpht.com/zw3XWeUWDrm36qPwChSzXYS2md2xpFuX11ObdJqFNEloKKwlh31C1NaBrHgyPqGwadWuYgeC6g=s88-c-k-c0x00ffffff-no-rj</v>
      </c>
      <c r="AL304" s="81">
        <v>0</v>
      </c>
      <c r="AM304" s="81">
        <v>0</v>
      </c>
      <c r="AN304" s="81">
        <v>0</v>
      </c>
      <c r="AO304" s="81" t="b">
        <v>0</v>
      </c>
      <c r="AP304" s="81">
        <v>0</v>
      </c>
      <c r="AQ304" s="81"/>
      <c r="AR304" s="81"/>
      <c r="AS304" s="81" t="s">
        <v>3378</v>
      </c>
      <c r="AT304" s="86" t="str">
        <f>HYPERLINK("https://www.youtube.com/channel/UC-9WhfcUUrndVvCzSDgdU6Q")</f>
        <v>https://www.youtube.com/channel/UC-9WhfcUUrndVvCzSDgdU6Q</v>
      </c>
      <c r="AU304" s="81" t="str">
        <f>REPLACE(INDEX(GroupVertices[Group],MATCH("~"&amp;Vertices[[#This Row],[Vertex]],GroupVertices[Vertex],0)),1,1,"")</f>
        <v>1</v>
      </c>
      <c r="AV304" s="49"/>
      <c r="AW304" s="49"/>
      <c r="AX304" s="49"/>
      <c r="AY304" s="49"/>
      <c r="AZ304" s="49"/>
      <c r="BA304" s="49"/>
      <c r="BB304" s="117" t="s">
        <v>3961</v>
      </c>
      <c r="BC304" s="117" t="s">
        <v>3961</v>
      </c>
      <c r="BD304" s="117" t="s">
        <v>4655</v>
      </c>
      <c r="BE304" s="117" t="s">
        <v>4655</v>
      </c>
      <c r="BF304" s="2"/>
      <c r="BG304" s="3"/>
      <c r="BH304" s="3"/>
      <c r="BI304" s="3"/>
      <c r="BJ304" s="3"/>
    </row>
    <row r="305" spans="1:62" ht="15">
      <c r="A305" s="66" t="s">
        <v>490</v>
      </c>
      <c r="B305" s="67"/>
      <c r="C305" s="67"/>
      <c r="D305" s="68">
        <v>50</v>
      </c>
      <c r="E305" s="70"/>
      <c r="F305" s="105" t="str">
        <f>HYPERLINK("https://yt3.ggpht.com/ytc/AIf8zZQFthsPT3cNbvDzkuuJLHccDErDIDke0bbu91Hh=s88-c-k-c0x00ffffff-no-rj")</f>
        <v>https://yt3.ggpht.com/ytc/AIf8zZQFthsPT3cNbvDzkuuJLHccDErDIDke0bbu91Hh=s88-c-k-c0x00ffffff-no-rj</v>
      </c>
      <c r="G305" s="67"/>
      <c r="H305" s="71" t="s">
        <v>2721</v>
      </c>
      <c r="I305" s="72"/>
      <c r="J305" s="72" t="s">
        <v>159</v>
      </c>
      <c r="K305" s="71" t="s">
        <v>2721</v>
      </c>
      <c r="L305" s="75">
        <v>1</v>
      </c>
      <c r="M305" s="76">
        <v>1793.8839111328125</v>
      </c>
      <c r="N305" s="76">
        <v>9223.3642578125</v>
      </c>
      <c r="O305" s="77"/>
      <c r="P305" s="78"/>
      <c r="Q305" s="78"/>
      <c r="R305" s="90"/>
      <c r="S305" s="49">
        <v>0</v>
      </c>
      <c r="T305" s="49">
        <v>1</v>
      </c>
      <c r="U305" s="50">
        <v>0</v>
      </c>
      <c r="V305" s="50">
        <v>0.231785</v>
      </c>
      <c r="W305" s="51"/>
      <c r="X305" s="51"/>
      <c r="Y305" s="51"/>
      <c r="Z305" s="50"/>
      <c r="AA305" s="73">
        <v>305</v>
      </c>
      <c r="AB305" s="73"/>
      <c r="AC305" s="74"/>
      <c r="AD305" s="81" t="s">
        <v>2721</v>
      </c>
      <c r="AE305" s="81"/>
      <c r="AF305" s="81"/>
      <c r="AG305" s="81"/>
      <c r="AH305" s="81"/>
      <c r="AI305" s="81" t="s">
        <v>1956</v>
      </c>
      <c r="AJ305" s="88">
        <v>41528.2440625</v>
      </c>
      <c r="AK305" s="86" t="str">
        <f>HYPERLINK("https://yt3.ggpht.com/ytc/AIf8zZQFthsPT3cNbvDzkuuJLHccDErDIDke0bbu91Hh=s88-c-k-c0x00ffffff-no-rj")</f>
        <v>https://yt3.ggpht.com/ytc/AIf8zZQFthsPT3cNbvDzkuuJLHccDErDIDke0bbu91Hh=s88-c-k-c0x00ffffff-no-rj</v>
      </c>
      <c r="AL305" s="81">
        <v>0</v>
      </c>
      <c r="AM305" s="81">
        <v>0</v>
      </c>
      <c r="AN305" s="81">
        <v>11</v>
      </c>
      <c r="AO305" s="81" t="b">
        <v>0</v>
      </c>
      <c r="AP305" s="81">
        <v>0</v>
      </c>
      <c r="AQ305" s="81"/>
      <c r="AR305" s="81"/>
      <c r="AS305" s="81" t="s">
        <v>3378</v>
      </c>
      <c r="AT305" s="86" t="str">
        <f>HYPERLINK("https://www.youtube.com/channel/UCW3wZi8CmM3qXkwF8Eqjr3Q")</f>
        <v>https://www.youtube.com/channel/UCW3wZi8CmM3qXkwF8Eqjr3Q</v>
      </c>
      <c r="AU305" s="81" t="str">
        <f>REPLACE(INDEX(GroupVertices[Group],MATCH("~"&amp;Vertices[[#This Row],[Vertex]],GroupVertices[Vertex],0)),1,1,"")</f>
        <v>1</v>
      </c>
      <c r="AV305" s="49"/>
      <c r="AW305" s="49"/>
      <c r="AX305" s="49"/>
      <c r="AY305" s="49"/>
      <c r="AZ305" s="49"/>
      <c r="BA305" s="49"/>
      <c r="BB305" s="117" t="s">
        <v>3962</v>
      </c>
      <c r="BC305" s="117" t="s">
        <v>3962</v>
      </c>
      <c r="BD305" s="117" t="s">
        <v>4656</v>
      </c>
      <c r="BE305" s="117" t="s">
        <v>4656</v>
      </c>
      <c r="BF305" s="2"/>
      <c r="BG305" s="3"/>
      <c r="BH305" s="3"/>
      <c r="BI305" s="3"/>
      <c r="BJ305" s="3"/>
    </row>
    <row r="306" spans="1:62" ht="15">
      <c r="A306" s="66" t="s">
        <v>491</v>
      </c>
      <c r="B306" s="67"/>
      <c r="C306" s="67"/>
      <c r="D306" s="68">
        <v>50</v>
      </c>
      <c r="E306" s="70"/>
      <c r="F306" s="105" t="str">
        <f>HYPERLINK("https://yt3.ggpht.com/ytc/AIf8zZQOB_6UhkMa96_pObQgDr7m1iWwWMFpPvZ2Pg=s88-c-k-c0x00ffffff-no-rj")</f>
        <v>https://yt3.ggpht.com/ytc/AIf8zZQOB_6UhkMa96_pObQgDr7m1iWwWMFpPvZ2Pg=s88-c-k-c0x00ffffff-no-rj</v>
      </c>
      <c r="G306" s="67"/>
      <c r="H306" s="71" t="s">
        <v>2722</v>
      </c>
      <c r="I306" s="72"/>
      <c r="J306" s="72" t="s">
        <v>159</v>
      </c>
      <c r="K306" s="71" t="s">
        <v>2722</v>
      </c>
      <c r="L306" s="75">
        <v>1</v>
      </c>
      <c r="M306" s="76">
        <v>447.1554260253906</v>
      </c>
      <c r="N306" s="76">
        <v>8203.63671875</v>
      </c>
      <c r="O306" s="77"/>
      <c r="P306" s="78"/>
      <c r="Q306" s="78"/>
      <c r="R306" s="90"/>
      <c r="S306" s="49">
        <v>0</v>
      </c>
      <c r="T306" s="49">
        <v>1</v>
      </c>
      <c r="U306" s="50">
        <v>0</v>
      </c>
      <c r="V306" s="50">
        <v>0.231785</v>
      </c>
      <c r="W306" s="51"/>
      <c r="X306" s="51"/>
      <c r="Y306" s="51"/>
      <c r="Z306" s="50"/>
      <c r="AA306" s="73">
        <v>306</v>
      </c>
      <c r="AB306" s="73"/>
      <c r="AC306" s="74"/>
      <c r="AD306" s="81" t="s">
        <v>2722</v>
      </c>
      <c r="AE306" s="81"/>
      <c r="AF306" s="81"/>
      <c r="AG306" s="81"/>
      <c r="AH306" s="81"/>
      <c r="AI306" s="81" t="s">
        <v>1957</v>
      </c>
      <c r="AJ306" s="88">
        <v>40373.0183912037</v>
      </c>
      <c r="AK306" s="86" t="str">
        <f>HYPERLINK("https://yt3.ggpht.com/ytc/AIf8zZQOB_6UhkMa96_pObQgDr7m1iWwWMFpPvZ2Pg=s88-c-k-c0x00ffffff-no-rj")</f>
        <v>https://yt3.ggpht.com/ytc/AIf8zZQOB_6UhkMa96_pObQgDr7m1iWwWMFpPvZ2Pg=s88-c-k-c0x00ffffff-no-rj</v>
      </c>
      <c r="AL306" s="81">
        <v>0</v>
      </c>
      <c r="AM306" s="81">
        <v>0</v>
      </c>
      <c r="AN306" s="81">
        <v>0</v>
      </c>
      <c r="AO306" s="81" t="b">
        <v>0</v>
      </c>
      <c r="AP306" s="81">
        <v>0</v>
      </c>
      <c r="AQ306" s="81"/>
      <c r="AR306" s="81"/>
      <c r="AS306" s="81" t="s">
        <v>3378</v>
      </c>
      <c r="AT306" s="86" t="str">
        <f>HYPERLINK("https://www.youtube.com/channel/UCO_5KC0CFCpCYgBPjDL0-RQ")</f>
        <v>https://www.youtube.com/channel/UCO_5KC0CFCpCYgBPjDL0-RQ</v>
      </c>
      <c r="AU306" s="81" t="str">
        <f>REPLACE(INDEX(GroupVertices[Group],MATCH("~"&amp;Vertices[[#This Row],[Vertex]],GroupVertices[Vertex],0)),1,1,"")</f>
        <v>1</v>
      </c>
      <c r="AV306" s="49"/>
      <c r="AW306" s="49"/>
      <c r="AX306" s="49"/>
      <c r="AY306" s="49"/>
      <c r="AZ306" s="49"/>
      <c r="BA306" s="49"/>
      <c r="BB306" s="117" t="s">
        <v>3963</v>
      </c>
      <c r="BC306" s="117" t="s">
        <v>3963</v>
      </c>
      <c r="BD306" s="117" t="s">
        <v>4657</v>
      </c>
      <c r="BE306" s="117" t="s">
        <v>4657</v>
      </c>
      <c r="BF306" s="2"/>
      <c r="BG306" s="3"/>
      <c r="BH306" s="3"/>
      <c r="BI306" s="3"/>
      <c r="BJ306" s="3"/>
    </row>
    <row r="307" spans="1:62" ht="15">
      <c r="A307" s="66" t="s">
        <v>492</v>
      </c>
      <c r="B307" s="67"/>
      <c r="C307" s="67"/>
      <c r="D307" s="68">
        <v>50</v>
      </c>
      <c r="E307" s="70"/>
      <c r="F307" s="105" t="str">
        <f>HYPERLINK("https://yt3.ggpht.com/ytc/AIf8zZRBTMRnzeEKk03HBRRtILNkiN_rdxDLX6pBZA=s88-c-k-c0x00ffffff-no-rj")</f>
        <v>https://yt3.ggpht.com/ytc/AIf8zZRBTMRnzeEKk03HBRRtILNkiN_rdxDLX6pBZA=s88-c-k-c0x00ffffff-no-rj</v>
      </c>
      <c r="G307" s="67"/>
      <c r="H307" s="71" t="s">
        <v>2723</v>
      </c>
      <c r="I307" s="72"/>
      <c r="J307" s="72" t="s">
        <v>159</v>
      </c>
      <c r="K307" s="71" t="s">
        <v>2723</v>
      </c>
      <c r="L307" s="75">
        <v>1</v>
      </c>
      <c r="M307" s="76">
        <v>2569.4208984375</v>
      </c>
      <c r="N307" s="76">
        <v>4013.14453125</v>
      </c>
      <c r="O307" s="77"/>
      <c r="P307" s="78"/>
      <c r="Q307" s="78"/>
      <c r="R307" s="90"/>
      <c r="S307" s="49">
        <v>0</v>
      </c>
      <c r="T307" s="49">
        <v>1</v>
      </c>
      <c r="U307" s="50">
        <v>0</v>
      </c>
      <c r="V307" s="50">
        <v>0.231785</v>
      </c>
      <c r="W307" s="51"/>
      <c r="X307" s="51"/>
      <c r="Y307" s="51"/>
      <c r="Z307" s="50"/>
      <c r="AA307" s="73">
        <v>307</v>
      </c>
      <c r="AB307" s="73"/>
      <c r="AC307" s="74"/>
      <c r="AD307" s="81" t="s">
        <v>2723</v>
      </c>
      <c r="AE307" s="81"/>
      <c r="AF307" s="81"/>
      <c r="AG307" s="81"/>
      <c r="AH307" s="81"/>
      <c r="AI307" s="81" t="s">
        <v>1958</v>
      </c>
      <c r="AJ307" s="88">
        <v>40823.11821759259</v>
      </c>
      <c r="AK307" s="86" t="str">
        <f>HYPERLINK("https://yt3.ggpht.com/ytc/AIf8zZRBTMRnzeEKk03HBRRtILNkiN_rdxDLX6pBZA=s88-c-k-c0x00ffffff-no-rj")</f>
        <v>https://yt3.ggpht.com/ytc/AIf8zZRBTMRnzeEKk03HBRRtILNkiN_rdxDLX6pBZA=s88-c-k-c0x00ffffff-no-rj</v>
      </c>
      <c r="AL307" s="81">
        <v>0</v>
      </c>
      <c r="AM307" s="81">
        <v>0</v>
      </c>
      <c r="AN307" s="81">
        <v>0</v>
      </c>
      <c r="AO307" s="81" t="b">
        <v>0</v>
      </c>
      <c r="AP307" s="81">
        <v>0</v>
      </c>
      <c r="AQ307" s="81"/>
      <c r="AR307" s="81"/>
      <c r="AS307" s="81" t="s">
        <v>3378</v>
      </c>
      <c r="AT307" s="86" t="str">
        <f>HYPERLINK("https://www.youtube.com/channel/UCp15ovkKNE3SI-u7Bsxd8nw")</f>
        <v>https://www.youtube.com/channel/UCp15ovkKNE3SI-u7Bsxd8nw</v>
      </c>
      <c r="AU307" s="81" t="str">
        <f>REPLACE(INDEX(GroupVertices[Group],MATCH("~"&amp;Vertices[[#This Row],[Vertex]],GroupVertices[Vertex],0)),1,1,"")</f>
        <v>1</v>
      </c>
      <c r="AV307" s="49"/>
      <c r="AW307" s="49"/>
      <c r="AX307" s="49"/>
      <c r="AY307" s="49"/>
      <c r="AZ307" s="49"/>
      <c r="BA307" s="49"/>
      <c r="BB307" s="117" t="s">
        <v>3964</v>
      </c>
      <c r="BC307" s="117" t="s">
        <v>3964</v>
      </c>
      <c r="BD307" s="117" t="s">
        <v>4658</v>
      </c>
      <c r="BE307" s="117" t="s">
        <v>4658</v>
      </c>
      <c r="BF307" s="2"/>
      <c r="BG307" s="3"/>
      <c r="BH307" s="3"/>
      <c r="BI307" s="3"/>
      <c r="BJ307" s="3"/>
    </row>
    <row r="308" spans="1:62" ht="15">
      <c r="A308" s="66" t="s">
        <v>493</v>
      </c>
      <c r="B308" s="67"/>
      <c r="C308" s="67"/>
      <c r="D308" s="68">
        <v>50</v>
      </c>
      <c r="E308" s="70"/>
      <c r="F308" s="105" t="str">
        <f>HYPERLINK("https://yt3.ggpht.com/ytc/AIf8zZTFprijR_29vteh3vkVYthb2D5qnZIbX54XSQ=s88-c-k-c0x00ffffff-no-rj")</f>
        <v>https://yt3.ggpht.com/ytc/AIf8zZTFprijR_29vteh3vkVYthb2D5qnZIbX54XSQ=s88-c-k-c0x00ffffff-no-rj</v>
      </c>
      <c r="G308" s="67"/>
      <c r="H308" s="71" t="s">
        <v>2724</v>
      </c>
      <c r="I308" s="72"/>
      <c r="J308" s="72" t="s">
        <v>159</v>
      </c>
      <c r="K308" s="71" t="s">
        <v>2724</v>
      </c>
      <c r="L308" s="75">
        <v>1</v>
      </c>
      <c r="M308" s="76">
        <v>3685.91064453125</v>
      </c>
      <c r="N308" s="76">
        <v>6371.0166015625</v>
      </c>
      <c r="O308" s="77"/>
      <c r="P308" s="78"/>
      <c r="Q308" s="78"/>
      <c r="R308" s="90"/>
      <c r="S308" s="49">
        <v>0</v>
      </c>
      <c r="T308" s="49">
        <v>1</v>
      </c>
      <c r="U308" s="50">
        <v>0</v>
      </c>
      <c r="V308" s="50">
        <v>0.231785</v>
      </c>
      <c r="W308" s="51"/>
      <c r="X308" s="51"/>
      <c r="Y308" s="51"/>
      <c r="Z308" s="50"/>
      <c r="AA308" s="73">
        <v>308</v>
      </c>
      <c r="AB308" s="73"/>
      <c r="AC308" s="74"/>
      <c r="AD308" s="81" t="s">
        <v>2724</v>
      </c>
      <c r="AE308" s="81"/>
      <c r="AF308" s="81"/>
      <c r="AG308" s="81"/>
      <c r="AH308" s="81"/>
      <c r="AI308" s="81" t="s">
        <v>3291</v>
      </c>
      <c r="AJ308" s="88">
        <v>40954.52009259259</v>
      </c>
      <c r="AK308" s="86" t="str">
        <f>HYPERLINK("https://yt3.ggpht.com/ytc/AIf8zZTFprijR_29vteh3vkVYthb2D5qnZIbX54XSQ=s88-c-k-c0x00ffffff-no-rj")</f>
        <v>https://yt3.ggpht.com/ytc/AIf8zZTFprijR_29vteh3vkVYthb2D5qnZIbX54XSQ=s88-c-k-c0x00ffffff-no-rj</v>
      </c>
      <c r="AL308" s="81">
        <v>0</v>
      </c>
      <c r="AM308" s="81">
        <v>0</v>
      </c>
      <c r="AN308" s="81">
        <v>0</v>
      </c>
      <c r="AO308" s="81" t="b">
        <v>0</v>
      </c>
      <c r="AP308" s="81">
        <v>0</v>
      </c>
      <c r="AQ308" s="81"/>
      <c r="AR308" s="81"/>
      <c r="AS308" s="81" t="s">
        <v>3378</v>
      </c>
      <c r="AT308" s="86" t="str">
        <f>HYPERLINK("https://www.youtube.com/channel/UCbAonIVhWWX7rrV5fFpvabQ")</f>
        <v>https://www.youtube.com/channel/UCbAonIVhWWX7rrV5fFpvabQ</v>
      </c>
      <c r="AU308" s="81" t="str">
        <f>REPLACE(INDEX(GroupVertices[Group],MATCH("~"&amp;Vertices[[#This Row],[Vertex]],GroupVertices[Vertex],0)),1,1,"")</f>
        <v>1</v>
      </c>
      <c r="AV308" s="49"/>
      <c r="AW308" s="49"/>
      <c r="AX308" s="49"/>
      <c r="AY308" s="49"/>
      <c r="AZ308" s="49"/>
      <c r="BA308" s="49"/>
      <c r="BB308" s="117" t="s">
        <v>3965</v>
      </c>
      <c r="BC308" s="117" t="s">
        <v>3965</v>
      </c>
      <c r="BD308" s="117" t="s">
        <v>4659</v>
      </c>
      <c r="BE308" s="117" t="s">
        <v>4659</v>
      </c>
      <c r="BF308" s="2"/>
      <c r="BG308" s="3"/>
      <c r="BH308" s="3"/>
      <c r="BI308" s="3"/>
      <c r="BJ308" s="3"/>
    </row>
    <row r="309" spans="1:62" ht="15">
      <c r="A309" s="66" t="s">
        <v>495</v>
      </c>
      <c r="B309" s="67"/>
      <c r="C309" s="67"/>
      <c r="D309" s="68">
        <v>50</v>
      </c>
      <c r="E309" s="70"/>
      <c r="F309" s="105" t="str">
        <f>HYPERLINK("https://yt3.ggpht.com/ytc/AIf8zZQK39YLZ_tPnYYz00mKvUeMsOeF2ksNGf6E1g0LK-F8GTKTlxvPlz_vDtf2vJSc=s88-c-k-c0x00ffffff-no-rj")</f>
        <v>https://yt3.ggpht.com/ytc/AIf8zZQK39YLZ_tPnYYz00mKvUeMsOeF2ksNGf6E1g0LK-F8GTKTlxvPlz_vDtf2vJSc=s88-c-k-c0x00ffffff-no-rj</v>
      </c>
      <c r="G309" s="67"/>
      <c r="H309" s="71" t="s">
        <v>2726</v>
      </c>
      <c r="I309" s="72"/>
      <c r="J309" s="72" t="s">
        <v>159</v>
      </c>
      <c r="K309" s="71" t="s">
        <v>2726</v>
      </c>
      <c r="L309" s="75">
        <v>1</v>
      </c>
      <c r="M309" s="76">
        <v>3383.547119140625</v>
      </c>
      <c r="N309" s="76">
        <v>8434.7568359375</v>
      </c>
      <c r="O309" s="77"/>
      <c r="P309" s="78"/>
      <c r="Q309" s="78"/>
      <c r="R309" s="90"/>
      <c r="S309" s="49">
        <v>0</v>
      </c>
      <c r="T309" s="49">
        <v>1</v>
      </c>
      <c r="U309" s="50">
        <v>0</v>
      </c>
      <c r="V309" s="50">
        <v>0.231785</v>
      </c>
      <c r="W309" s="51"/>
      <c r="X309" s="51"/>
      <c r="Y309" s="51"/>
      <c r="Z309" s="50"/>
      <c r="AA309" s="73">
        <v>309</v>
      </c>
      <c r="AB309" s="73"/>
      <c r="AC309" s="74"/>
      <c r="AD309" s="81" t="s">
        <v>2726</v>
      </c>
      <c r="AE309" s="81"/>
      <c r="AF309" s="81"/>
      <c r="AG309" s="81"/>
      <c r="AH309" s="81"/>
      <c r="AI309" s="81" t="s">
        <v>1961</v>
      </c>
      <c r="AJ309" s="88">
        <v>44868.83479166667</v>
      </c>
      <c r="AK309" s="86" t="str">
        <f>HYPERLINK("https://yt3.ggpht.com/ytc/AIf8zZQK39YLZ_tPnYYz00mKvUeMsOeF2ksNGf6E1g0LK-F8GTKTlxvPlz_vDtf2vJSc=s88-c-k-c0x00ffffff-no-rj")</f>
        <v>https://yt3.ggpht.com/ytc/AIf8zZQK39YLZ_tPnYYz00mKvUeMsOeF2ksNGf6E1g0LK-F8GTKTlxvPlz_vDtf2vJSc=s88-c-k-c0x00ffffff-no-rj</v>
      </c>
      <c r="AL309" s="81">
        <v>0</v>
      </c>
      <c r="AM309" s="81">
        <v>0</v>
      </c>
      <c r="AN309" s="81">
        <v>0</v>
      </c>
      <c r="AO309" s="81" t="b">
        <v>0</v>
      </c>
      <c r="AP309" s="81">
        <v>0</v>
      </c>
      <c r="AQ309" s="81"/>
      <c r="AR309" s="81"/>
      <c r="AS309" s="81" t="s">
        <v>3378</v>
      </c>
      <c r="AT309" s="86" t="str">
        <f>HYPERLINK("https://www.youtube.com/channel/UCMNn4karKPX5DeBfW1vxcNQ")</f>
        <v>https://www.youtube.com/channel/UCMNn4karKPX5DeBfW1vxcNQ</v>
      </c>
      <c r="AU309" s="81" t="str">
        <f>REPLACE(INDEX(GroupVertices[Group],MATCH("~"&amp;Vertices[[#This Row],[Vertex]],GroupVertices[Vertex],0)),1,1,"")</f>
        <v>1</v>
      </c>
      <c r="AV309" s="49"/>
      <c r="AW309" s="49"/>
      <c r="AX309" s="49"/>
      <c r="AY309" s="49"/>
      <c r="AZ309" s="49"/>
      <c r="BA309" s="49"/>
      <c r="BB309" s="117" t="s">
        <v>3967</v>
      </c>
      <c r="BC309" s="117" t="s">
        <v>3967</v>
      </c>
      <c r="BD309" s="117" t="s">
        <v>4661</v>
      </c>
      <c r="BE309" s="117" t="s">
        <v>4661</v>
      </c>
      <c r="BF309" s="2"/>
      <c r="BG309" s="3"/>
      <c r="BH309" s="3"/>
      <c r="BI309" s="3"/>
      <c r="BJ309" s="3"/>
    </row>
    <row r="310" spans="1:62" ht="15">
      <c r="A310" s="66" t="s">
        <v>496</v>
      </c>
      <c r="B310" s="67"/>
      <c r="C310" s="67"/>
      <c r="D310" s="68">
        <v>50</v>
      </c>
      <c r="E310" s="70"/>
      <c r="F310" s="105" t="str">
        <f>HYPERLINK("https://yt3.ggpht.com/ytc/AIf8zZQNCwfzXNcB7kudvU6ymo51BC4awQnazx4-sQ=s88-c-k-c0x00ffffff-no-rj")</f>
        <v>https://yt3.ggpht.com/ytc/AIf8zZQNCwfzXNcB7kudvU6ymo51BC4awQnazx4-sQ=s88-c-k-c0x00ffffff-no-rj</v>
      </c>
      <c r="G310" s="67"/>
      <c r="H310" s="71" t="s">
        <v>2727</v>
      </c>
      <c r="I310" s="72"/>
      <c r="J310" s="72" t="s">
        <v>159</v>
      </c>
      <c r="K310" s="71" t="s">
        <v>2727</v>
      </c>
      <c r="L310" s="75">
        <v>1</v>
      </c>
      <c r="M310" s="76">
        <v>825.2616577148438</v>
      </c>
      <c r="N310" s="76">
        <v>8639.341796875</v>
      </c>
      <c r="O310" s="77"/>
      <c r="P310" s="78"/>
      <c r="Q310" s="78"/>
      <c r="R310" s="90"/>
      <c r="S310" s="49">
        <v>0</v>
      </c>
      <c r="T310" s="49">
        <v>1</v>
      </c>
      <c r="U310" s="50">
        <v>0</v>
      </c>
      <c r="V310" s="50">
        <v>0.231785</v>
      </c>
      <c r="W310" s="51"/>
      <c r="X310" s="51"/>
      <c r="Y310" s="51"/>
      <c r="Z310" s="50"/>
      <c r="AA310" s="73">
        <v>310</v>
      </c>
      <c r="AB310" s="73"/>
      <c r="AC310" s="74"/>
      <c r="AD310" s="81" t="s">
        <v>2727</v>
      </c>
      <c r="AE310" s="81"/>
      <c r="AF310" s="81"/>
      <c r="AG310" s="81"/>
      <c r="AH310" s="81"/>
      <c r="AI310" s="81" t="s">
        <v>1962</v>
      </c>
      <c r="AJ310" s="88">
        <v>41306.42016203704</v>
      </c>
      <c r="AK310" s="86" t="str">
        <f>HYPERLINK("https://yt3.ggpht.com/ytc/AIf8zZQNCwfzXNcB7kudvU6ymo51BC4awQnazx4-sQ=s88-c-k-c0x00ffffff-no-rj")</f>
        <v>https://yt3.ggpht.com/ytc/AIf8zZQNCwfzXNcB7kudvU6ymo51BC4awQnazx4-sQ=s88-c-k-c0x00ffffff-no-rj</v>
      </c>
      <c r="AL310" s="81">
        <v>0</v>
      </c>
      <c r="AM310" s="81">
        <v>0</v>
      </c>
      <c r="AN310" s="81">
        <v>0</v>
      </c>
      <c r="AO310" s="81" t="b">
        <v>0</v>
      </c>
      <c r="AP310" s="81">
        <v>0</v>
      </c>
      <c r="AQ310" s="81"/>
      <c r="AR310" s="81"/>
      <c r="AS310" s="81" t="s">
        <v>3378</v>
      </c>
      <c r="AT310" s="86" t="str">
        <f>HYPERLINK("https://www.youtube.com/channel/UCjY7W-5Cu6D_XoZzb9kqzag")</f>
        <v>https://www.youtube.com/channel/UCjY7W-5Cu6D_XoZzb9kqzag</v>
      </c>
      <c r="AU310" s="81" t="str">
        <f>REPLACE(INDEX(GroupVertices[Group],MATCH("~"&amp;Vertices[[#This Row],[Vertex]],GroupVertices[Vertex],0)),1,1,"")</f>
        <v>1</v>
      </c>
      <c r="AV310" s="49"/>
      <c r="AW310" s="49"/>
      <c r="AX310" s="49"/>
      <c r="AY310" s="49"/>
      <c r="AZ310" s="49"/>
      <c r="BA310" s="49"/>
      <c r="BB310" s="117" t="s">
        <v>3968</v>
      </c>
      <c r="BC310" s="117" t="s">
        <v>3968</v>
      </c>
      <c r="BD310" s="117" t="s">
        <v>4662</v>
      </c>
      <c r="BE310" s="117" t="s">
        <v>4662</v>
      </c>
      <c r="BF310" s="2"/>
      <c r="BG310" s="3"/>
      <c r="BH310" s="3"/>
      <c r="BI310" s="3"/>
      <c r="BJ310" s="3"/>
    </row>
    <row r="311" spans="1:62" ht="15">
      <c r="A311" s="66" t="s">
        <v>497</v>
      </c>
      <c r="B311" s="67"/>
      <c r="C311" s="67"/>
      <c r="D311" s="68">
        <v>50</v>
      </c>
      <c r="E311" s="70"/>
      <c r="F311" s="105" t="str">
        <f>HYPERLINK("https://yt3.ggpht.com/ytc/AIf8zZRBg33hFRCD91oINb8syx1MeZ4QbtEKjpBHCNYuSw=s88-c-k-c0x00ffffff-no-rj")</f>
        <v>https://yt3.ggpht.com/ytc/AIf8zZRBg33hFRCD91oINb8syx1MeZ4QbtEKjpBHCNYuSw=s88-c-k-c0x00ffffff-no-rj</v>
      </c>
      <c r="G311" s="67"/>
      <c r="H311" s="71" t="s">
        <v>2728</v>
      </c>
      <c r="I311" s="72"/>
      <c r="J311" s="72" t="s">
        <v>159</v>
      </c>
      <c r="K311" s="71" t="s">
        <v>2728</v>
      </c>
      <c r="L311" s="75">
        <v>1</v>
      </c>
      <c r="M311" s="76">
        <v>3619.72900390625</v>
      </c>
      <c r="N311" s="76">
        <v>6188.306640625</v>
      </c>
      <c r="O311" s="77"/>
      <c r="P311" s="78"/>
      <c r="Q311" s="78"/>
      <c r="R311" s="90"/>
      <c r="S311" s="49">
        <v>0</v>
      </c>
      <c r="T311" s="49">
        <v>1</v>
      </c>
      <c r="U311" s="50">
        <v>0</v>
      </c>
      <c r="V311" s="50">
        <v>0.231785</v>
      </c>
      <c r="W311" s="51"/>
      <c r="X311" s="51"/>
      <c r="Y311" s="51"/>
      <c r="Z311" s="50"/>
      <c r="AA311" s="73">
        <v>311</v>
      </c>
      <c r="AB311" s="73"/>
      <c r="AC311" s="74"/>
      <c r="AD311" s="81" t="s">
        <v>2728</v>
      </c>
      <c r="AE311" s="81"/>
      <c r="AF311" s="81"/>
      <c r="AG311" s="81"/>
      <c r="AH311" s="81"/>
      <c r="AI311" s="81" t="s">
        <v>1963</v>
      </c>
      <c r="AJ311" s="88">
        <v>40962.950370370374</v>
      </c>
      <c r="AK311" s="86" t="str">
        <f>HYPERLINK("https://yt3.ggpht.com/ytc/AIf8zZRBg33hFRCD91oINb8syx1MeZ4QbtEKjpBHCNYuSw=s88-c-k-c0x00ffffff-no-rj")</f>
        <v>https://yt3.ggpht.com/ytc/AIf8zZRBg33hFRCD91oINb8syx1MeZ4QbtEKjpBHCNYuSw=s88-c-k-c0x00ffffff-no-rj</v>
      </c>
      <c r="AL311" s="81">
        <v>0</v>
      </c>
      <c r="AM311" s="81">
        <v>0</v>
      </c>
      <c r="AN311" s="81">
        <v>0</v>
      </c>
      <c r="AO311" s="81" t="b">
        <v>0</v>
      </c>
      <c r="AP311" s="81">
        <v>0</v>
      </c>
      <c r="AQ311" s="81"/>
      <c r="AR311" s="81"/>
      <c r="AS311" s="81" t="s">
        <v>3378</v>
      </c>
      <c r="AT311" s="86" t="str">
        <f>HYPERLINK("https://www.youtube.com/channel/UCsCIR-vVowQXgCCPUsJiIGw")</f>
        <v>https://www.youtube.com/channel/UCsCIR-vVowQXgCCPUsJiIGw</v>
      </c>
      <c r="AU311" s="81" t="str">
        <f>REPLACE(INDEX(GroupVertices[Group],MATCH("~"&amp;Vertices[[#This Row],[Vertex]],GroupVertices[Vertex],0)),1,1,"")</f>
        <v>1</v>
      </c>
      <c r="AV311" s="49"/>
      <c r="AW311" s="49"/>
      <c r="AX311" s="49"/>
      <c r="AY311" s="49"/>
      <c r="AZ311" s="49"/>
      <c r="BA311" s="49"/>
      <c r="BB311" s="117" t="s">
        <v>3969</v>
      </c>
      <c r="BC311" s="117" t="s">
        <v>3969</v>
      </c>
      <c r="BD311" s="117" t="s">
        <v>4663</v>
      </c>
      <c r="BE311" s="117" t="s">
        <v>4663</v>
      </c>
      <c r="BF311" s="2"/>
      <c r="BG311" s="3"/>
      <c r="BH311" s="3"/>
      <c r="BI311" s="3"/>
      <c r="BJ311" s="3"/>
    </row>
    <row r="312" spans="1:62" ht="15">
      <c r="A312" s="66" t="s">
        <v>498</v>
      </c>
      <c r="B312" s="67"/>
      <c r="C312" s="67"/>
      <c r="D312" s="68">
        <v>50</v>
      </c>
      <c r="E312" s="70"/>
      <c r="F312" s="105" t="str">
        <f>HYPERLINK("https://yt3.ggpht.com/ytc/AIf8zZRDojkMAW60AJZhXaIHij6NNdSbozuX5JpRbLByu8I=s88-c-k-c0x00ffffff-no-rj")</f>
        <v>https://yt3.ggpht.com/ytc/AIf8zZRDojkMAW60AJZhXaIHij6NNdSbozuX5JpRbLByu8I=s88-c-k-c0x00ffffff-no-rj</v>
      </c>
      <c r="G312" s="67"/>
      <c r="H312" s="71" t="s">
        <v>2729</v>
      </c>
      <c r="I312" s="72"/>
      <c r="J312" s="72" t="s">
        <v>159</v>
      </c>
      <c r="K312" s="71" t="s">
        <v>2729</v>
      </c>
      <c r="L312" s="75">
        <v>1</v>
      </c>
      <c r="M312" s="76">
        <v>1781.5198974609375</v>
      </c>
      <c r="N312" s="76">
        <v>5156.56103515625</v>
      </c>
      <c r="O312" s="77"/>
      <c r="P312" s="78"/>
      <c r="Q312" s="78"/>
      <c r="R312" s="90"/>
      <c r="S312" s="49">
        <v>0</v>
      </c>
      <c r="T312" s="49">
        <v>1</v>
      </c>
      <c r="U312" s="50">
        <v>0</v>
      </c>
      <c r="V312" s="50">
        <v>0.231785</v>
      </c>
      <c r="W312" s="51"/>
      <c r="X312" s="51"/>
      <c r="Y312" s="51"/>
      <c r="Z312" s="50"/>
      <c r="AA312" s="73">
        <v>312</v>
      </c>
      <c r="AB312" s="73"/>
      <c r="AC312" s="74"/>
      <c r="AD312" s="81" t="s">
        <v>2729</v>
      </c>
      <c r="AE312" s="81"/>
      <c r="AF312" s="81"/>
      <c r="AG312" s="81"/>
      <c r="AH312" s="81"/>
      <c r="AI312" s="81" t="s">
        <v>1964</v>
      </c>
      <c r="AJ312" s="88">
        <v>39225.085335648146</v>
      </c>
      <c r="AK312" s="86" t="str">
        <f>HYPERLINK("https://yt3.ggpht.com/ytc/AIf8zZRDojkMAW60AJZhXaIHij6NNdSbozuX5JpRbLByu8I=s88-c-k-c0x00ffffff-no-rj")</f>
        <v>https://yt3.ggpht.com/ytc/AIf8zZRDojkMAW60AJZhXaIHij6NNdSbozuX5JpRbLByu8I=s88-c-k-c0x00ffffff-no-rj</v>
      </c>
      <c r="AL312" s="81">
        <v>0</v>
      </c>
      <c r="AM312" s="81">
        <v>0</v>
      </c>
      <c r="AN312" s="81">
        <v>2</v>
      </c>
      <c r="AO312" s="81" t="b">
        <v>0</v>
      </c>
      <c r="AP312" s="81">
        <v>0</v>
      </c>
      <c r="AQ312" s="81"/>
      <c r="AR312" s="81"/>
      <c r="AS312" s="81" t="s">
        <v>3378</v>
      </c>
      <c r="AT312" s="86" t="str">
        <f>HYPERLINK("https://www.youtube.com/channel/UCkWMDdBrOlsPCtAProeCW-g")</f>
        <v>https://www.youtube.com/channel/UCkWMDdBrOlsPCtAProeCW-g</v>
      </c>
      <c r="AU312" s="81" t="str">
        <f>REPLACE(INDEX(GroupVertices[Group],MATCH("~"&amp;Vertices[[#This Row],[Vertex]],GroupVertices[Vertex],0)),1,1,"")</f>
        <v>1</v>
      </c>
      <c r="AV312" s="49"/>
      <c r="AW312" s="49"/>
      <c r="AX312" s="49"/>
      <c r="AY312" s="49"/>
      <c r="AZ312" s="49"/>
      <c r="BA312" s="49"/>
      <c r="BB312" s="117" t="s">
        <v>3970</v>
      </c>
      <c r="BC312" s="117" t="s">
        <v>3970</v>
      </c>
      <c r="BD312" s="117" t="s">
        <v>4664</v>
      </c>
      <c r="BE312" s="117" t="s">
        <v>4664</v>
      </c>
      <c r="BF312" s="2"/>
      <c r="BG312" s="3"/>
      <c r="BH312" s="3"/>
      <c r="BI312" s="3"/>
      <c r="BJ312" s="3"/>
    </row>
    <row r="313" spans="1:62" ht="15">
      <c r="A313" s="66" t="s">
        <v>499</v>
      </c>
      <c r="B313" s="67"/>
      <c r="C313" s="67"/>
      <c r="D313" s="68">
        <v>50</v>
      </c>
      <c r="E313" s="70"/>
      <c r="F313" s="105" t="str">
        <f>HYPERLINK("https://yt3.ggpht.com/ytc/AIf8zZSpLla3T9V4uJ1V7DmJGIPCyiYrTKjAhwi21g=s88-c-k-c0x00ffffff-no-rj")</f>
        <v>https://yt3.ggpht.com/ytc/AIf8zZSpLla3T9V4uJ1V7DmJGIPCyiYrTKjAhwi21g=s88-c-k-c0x00ffffff-no-rj</v>
      </c>
      <c r="G313" s="67"/>
      <c r="H313" s="71" t="s">
        <v>2730</v>
      </c>
      <c r="I313" s="72"/>
      <c r="J313" s="72" t="s">
        <v>159</v>
      </c>
      <c r="K313" s="71" t="s">
        <v>2730</v>
      </c>
      <c r="L313" s="75">
        <v>1</v>
      </c>
      <c r="M313" s="76">
        <v>923.9119262695312</v>
      </c>
      <c r="N313" s="76">
        <v>7512.73046875</v>
      </c>
      <c r="O313" s="77"/>
      <c r="P313" s="78"/>
      <c r="Q313" s="78"/>
      <c r="R313" s="90"/>
      <c r="S313" s="49">
        <v>0</v>
      </c>
      <c r="T313" s="49">
        <v>1</v>
      </c>
      <c r="U313" s="50">
        <v>0</v>
      </c>
      <c r="V313" s="50">
        <v>0.231785</v>
      </c>
      <c r="W313" s="51"/>
      <c r="X313" s="51"/>
      <c r="Y313" s="51"/>
      <c r="Z313" s="50"/>
      <c r="AA313" s="73">
        <v>313</v>
      </c>
      <c r="AB313" s="73"/>
      <c r="AC313" s="74"/>
      <c r="AD313" s="81" t="s">
        <v>2730</v>
      </c>
      <c r="AE313" s="81"/>
      <c r="AF313" s="81"/>
      <c r="AG313" s="81"/>
      <c r="AH313" s="81"/>
      <c r="AI313" s="81" t="s">
        <v>1965</v>
      </c>
      <c r="AJ313" s="88">
        <v>41832.22251157407</v>
      </c>
      <c r="AK313" s="86" t="str">
        <f>HYPERLINK("https://yt3.ggpht.com/ytc/AIf8zZSpLla3T9V4uJ1V7DmJGIPCyiYrTKjAhwi21g=s88-c-k-c0x00ffffff-no-rj")</f>
        <v>https://yt3.ggpht.com/ytc/AIf8zZSpLla3T9V4uJ1V7DmJGIPCyiYrTKjAhwi21g=s88-c-k-c0x00ffffff-no-rj</v>
      </c>
      <c r="AL313" s="81">
        <v>0</v>
      </c>
      <c r="AM313" s="81">
        <v>0</v>
      </c>
      <c r="AN313" s="81">
        <v>2</v>
      </c>
      <c r="AO313" s="81" t="b">
        <v>0</v>
      </c>
      <c r="AP313" s="81">
        <v>0</v>
      </c>
      <c r="AQ313" s="81"/>
      <c r="AR313" s="81"/>
      <c r="AS313" s="81" t="s">
        <v>3378</v>
      </c>
      <c r="AT313" s="86" t="str">
        <f>HYPERLINK("https://www.youtube.com/channel/UCBwDhaYnBieUF5CwDbegqlg")</f>
        <v>https://www.youtube.com/channel/UCBwDhaYnBieUF5CwDbegqlg</v>
      </c>
      <c r="AU313" s="81" t="str">
        <f>REPLACE(INDEX(GroupVertices[Group],MATCH("~"&amp;Vertices[[#This Row],[Vertex]],GroupVertices[Vertex],0)),1,1,"")</f>
        <v>1</v>
      </c>
      <c r="AV313" s="49"/>
      <c r="AW313" s="49"/>
      <c r="AX313" s="49"/>
      <c r="AY313" s="49"/>
      <c r="AZ313" s="49"/>
      <c r="BA313" s="49"/>
      <c r="BB313" s="117" t="s">
        <v>3971</v>
      </c>
      <c r="BC313" s="117" t="s">
        <v>3971</v>
      </c>
      <c r="BD313" s="117" t="s">
        <v>4665</v>
      </c>
      <c r="BE313" s="117" t="s">
        <v>4665</v>
      </c>
      <c r="BF313" s="2"/>
      <c r="BG313" s="3"/>
      <c r="BH313" s="3"/>
      <c r="BI313" s="3"/>
      <c r="BJ313" s="3"/>
    </row>
    <row r="314" spans="1:62" ht="15">
      <c r="A314" s="66" t="s">
        <v>500</v>
      </c>
      <c r="B314" s="67"/>
      <c r="C314" s="67"/>
      <c r="D314" s="68">
        <v>50</v>
      </c>
      <c r="E314" s="70"/>
      <c r="F314" s="105" t="str">
        <f>HYPERLINK("https://yt3.ggpht.com/ytc/AIf8zZRAYA-mW1jTZdfUa4QbE-4k9dfhkMOaQ9xMbm-TlA=s88-c-k-c0x00ffffff-no-rj")</f>
        <v>https://yt3.ggpht.com/ytc/AIf8zZRAYA-mW1jTZdfUa4QbE-4k9dfhkMOaQ9xMbm-TlA=s88-c-k-c0x00ffffff-no-rj</v>
      </c>
      <c r="G314" s="67"/>
      <c r="H314" s="71" t="s">
        <v>2731</v>
      </c>
      <c r="I314" s="72"/>
      <c r="J314" s="72" t="s">
        <v>159</v>
      </c>
      <c r="K314" s="71" t="s">
        <v>2731</v>
      </c>
      <c r="L314" s="75">
        <v>1</v>
      </c>
      <c r="M314" s="76">
        <v>1112.6865234375</v>
      </c>
      <c r="N314" s="76">
        <v>4734.36572265625</v>
      </c>
      <c r="O314" s="77"/>
      <c r="P314" s="78"/>
      <c r="Q314" s="78"/>
      <c r="R314" s="90"/>
      <c r="S314" s="49">
        <v>0</v>
      </c>
      <c r="T314" s="49">
        <v>1</v>
      </c>
      <c r="U314" s="50">
        <v>0</v>
      </c>
      <c r="V314" s="50">
        <v>0.231785</v>
      </c>
      <c r="W314" s="51"/>
      <c r="X314" s="51"/>
      <c r="Y314" s="51"/>
      <c r="Z314" s="50"/>
      <c r="AA314" s="73">
        <v>314</v>
      </c>
      <c r="AB314" s="73"/>
      <c r="AC314" s="74"/>
      <c r="AD314" s="81" t="s">
        <v>2731</v>
      </c>
      <c r="AE314" s="81" t="s">
        <v>3170</v>
      </c>
      <c r="AF314" s="81"/>
      <c r="AG314" s="81"/>
      <c r="AH314" s="81"/>
      <c r="AI314" s="81" t="s">
        <v>1966</v>
      </c>
      <c r="AJ314" s="88">
        <v>39563.94420138889</v>
      </c>
      <c r="AK314" s="86" t="str">
        <f>HYPERLINK("https://yt3.ggpht.com/ytc/AIf8zZRAYA-mW1jTZdfUa4QbE-4k9dfhkMOaQ9xMbm-TlA=s88-c-k-c0x00ffffff-no-rj")</f>
        <v>https://yt3.ggpht.com/ytc/AIf8zZRAYA-mW1jTZdfUa4QbE-4k9dfhkMOaQ9xMbm-TlA=s88-c-k-c0x00ffffff-no-rj</v>
      </c>
      <c r="AL314" s="81">
        <v>69969</v>
      </c>
      <c r="AM314" s="81">
        <v>0</v>
      </c>
      <c r="AN314" s="81">
        <v>265</v>
      </c>
      <c r="AO314" s="81" t="b">
        <v>0</v>
      </c>
      <c r="AP314" s="81">
        <v>87</v>
      </c>
      <c r="AQ314" s="81"/>
      <c r="AR314" s="81"/>
      <c r="AS314" s="81" t="s">
        <v>3378</v>
      </c>
      <c r="AT314" s="86" t="str">
        <f>HYPERLINK("https://www.youtube.com/channel/UCgB7YJiJREv_F6AIpOJj2fA")</f>
        <v>https://www.youtube.com/channel/UCgB7YJiJREv_F6AIpOJj2fA</v>
      </c>
      <c r="AU314" s="81" t="str">
        <f>REPLACE(INDEX(GroupVertices[Group],MATCH("~"&amp;Vertices[[#This Row],[Vertex]],GroupVertices[Vertex],0)),1,1,"")</f>
        <v>1</v>
      </c>
      <c r="AV314" s="49"/>
      <c r="AW314" s="49"/>
      <c r="AX314" s="49"/>
      <c r="AY314" s="49"/>
      <c r="AZ314" s="49"/>
      <c r="BA314" s="49"/>
      <c r="BB314" s="117" t="s">
        <v>3972</v>
      </c>
      <c r="BC314" s="117" t="s">
        <v>3972</v>
      </c>
      <c r="BD314" s="117" t="s">
        <v>4666</v>
      </c>
      <c r="BE314" s="117" t="s">
        <v>4666</v>
      </c>
      <c r="BF314" s="2"/>
      <c r="BG314" s="3"/>
      <c r="BH314" s="3"/>
      <c r="BI314" s="3"/>
      <c r="BJ314" s="3"/>
    </row>
    <row r="315" spans="1:62" ht="15">
      <c r="A315" s="66" t="s">
        <v>501</v>
      </c>
      <c r="B315" s="67"/>
      <c r="C315" s="67"/>
      <c r="D315" s="68">
        <v>50</v>
      </c>
      <c r="E315" s="70"/>
      <c r="F315" s="105" t="str">
        <f>HYPERLINK("https://yt3.ggpht.com/ytc/AIf8zZSJlNfJgJt-oRcnqeP34oOc6YIWVcOz7Box_w=s88-c-k-c0x00ffffff-no-rj")</f>
        <v>https://yt3.ggpht.com/ytc/AIf8zZSJlNfJgJt-oRcnqeP34oOc6YIWVcOz7Box_w=s88-c-k-c0x00ffffff-no-rj</v>
      </c>
      <c r="G315" s="67"/>
      <c r="H315" s="71" t="s">
        <v>2732</v>
      </c>
      <c r="I315" s="72"/>
      <c r="J315" s="72" t="s">
        <v>159</v>
      </c>
      <c r="K315" s="71" t="s">
        <v>2732</v>
      </c>
      <c r="L315" s="75">
        <v>1</v>
      </c>
      <c r="M315" s="76">
        <v>3679.83642578125</v>
      </c>
      <c r="N315" s="76">
        <v>6979.2138671875</v>
      </c>
      <c r="O315" s="77"/>
      <c r="P315" s="78"/>
      <c r="Q315" s="78"/>
      <c r="R315" s="90"/>
      <c r="S315" s="49">
        <v>0</v>
      </c>
      <c r="T315" s="49">
        <v>1</v>
      </c>
      <c r="U315" s="50">
        <v>0</v>
      </c>
      <c r="V315" s="50">
        <v>0.231785</v>
      </c>
      <c r="W315" s="51"/>
      <c r="X315" s="51"/>
      <c r="Y315" s="51"/>
      <c r="Z315" s="50"/>
      <c r="AA315" s="73">
        <v>315</v>
      </c>
      <c r="AB315" s="73"/>
      <c r="AC315" s="74"/>
      <c r="AD315" s="81" t="s">
        <v>2732</v>
      </c>
      <c r="AE315" s="81"/>
      <c r="AF315" s="81"/>
      <c r="AG315" s="81"/>
      <c r="AH315" s="81"/>
      <c r="AI315" s="81" t="s">
        <v>1967</v>
      </c>
      <c r="AJ315" s="88">
        <v>41523.0865162037</v>
      </c>
      <c r="AK315" s="86" t="str">
        <f>HYPERLINK("https://yt3.ggpht.com/ytc/AIf8zZSJlNfJgJt-oRcnqeP34oOc6YIWVcOz7Box_w=s88-c-k-c0x00ffffff-no-rj")</f>
        <v>https://yt3.ggpht.com/ytc/AIf8zZSJlNfJgJt-oRcnqeP34oOc6YIWVcOz7Box_w=s88-c-k-c0x00ffffff-no-rj</v>
      </c>
      <c r="AL315" s="81">
        <v>259</v>
      </c>
      <c r="AM315" s="81">
        <v>0</v>
      </c>
      <c r="AN315" s="81">
        <v>0</v>
      </c>
      <c r="AO315" s="81" t="b">
        <v>0</v>
      </c>
      <c r="AP315" s="81">
        <v>1</v>
      </c>
      <c r="AQ315" s="81"/>
      <c r="AR315" s="81"/>
      <c r="AS315" s="81" t="s">
        <v>3378</v>
      </c>
      <c r="AT315" s="86" t="str">
        <f>HYPERLINK("https://www.youtube.com/channel/UC0odDQXJ1f6VwclLzki0pbA")</f>
        <v>https://www.youtube.com/channel/UC0odDQXJ1f6VwclLzki0pbA</v>
      </c>
      <c r="AU315" s="81" t="str">
        <f>REPLACE(INDEX(GroupVertices[Group],MATCH("~"&amp;Vertices[[#This Row],[Vertex]],GroupVertices[Vertex],0)),1,1,"")</f>
        <v>1</v>
      </c>
      <c r="AV315" s="49"/>
      <c r="AW315" s="49"/>
      <c r="AX315" s="49"/>
      <c r="AY315" s="49"/>
      <c r="AZ315" s="49"/>
      <c r="BA315" s="49"/>
      <c r="BB315" s="117" t="s">
        <v>3973</v>
      </c>
      <c r="BC315" s="117" t="s">
        <v>3973</v>
      </c>
      <c r="BD315" s="117" t="s">
        <v>4667</v>
      </c>
      <c r="BE315" s="117" t="s">
        <v>4667</v>
      </c>
      <c r="BF315" s="2"/>
      <c r="BG315" s="3"/>
      <c r="BH315" s="3"/>
      <c r="BI315" s="3"/>
      <c r="BJ315" s="3"/>
    </row>
    <row r="316" spans="1:62" ht="15">
      <c r="A316" s="66" t="s">
        <v>502</v>
      </c>
      <c r="B316" s="67"/>
      <c r="C316" s="67"/>
      <c r="D316" s="68">
        <v>50</v>
      </c>
      <c r="E316" s="70"/>
      <c r="F316" s="105" t="str">
        <f>HYPERLINK("https://yt3.ggpht.com/ytc/AIf8zZRLgBbGShAMGm8vdm3mVRn8uFgaxZ9f-mTiSg=s88-c-k-c0x00ffffff-no-rj")</f>
        <v>https://yt3.ggpht.com/ytc/AIf8zZRLgBbGShAMGm8vdm3mVRn8uFgaxZ9f-mTiSg=s88-c-k-c0x00ffffff-no-rj</v>
      </c>
      <c r="G316" s="67"/>
      <c r="H316" s="71" t="s">
        <v>2733</v>
      </c>
      <c r="I316" s="72"/>
      <c r="J316" s="72" t="s">
        <v>159</v>
      </c>
      <c r="K316" s="71" t="s">
        <v>2733</v>
      </c>
      <c r="L316" s="75">
        <v>1</v>
      </c>
      <c r="M316" s="76">
        <v>3448.269775390625</v>
      </c>
      <c r="N316" s="76">
        <v>7326.798828125</v>
      </c>
      <c r="O316" s="77"/>
      <c r="P316" s="78"/>
      <c r="Q316" s="78"/>
      <c r="R316" s="90"/>
      <c r="S316" s="49">
        <v>0</v>
      </c>
      <c r="T316" s="49">
        <v>1</v>
      </c>
      <c r="U316" s="50">
        <v>0</v>
      </c>
      <c r="V316" s="50">
        <v>0.231785</v>
      </c>
      <c r="W316" s="51"/>
      <c r="X316" s="51"/>
      <c r="Y316" s="51"/>
      <c r="Z316" s="50"/>
      <c r="AA316" s="73">
        <v>316</v>
      </c>
      <c r="AB316" s="73"/>
      <c r="AC316" s="74"/>
      <c r="AD316" s="81" t="s">
        <v>2733</v>
      </c>
      <c r="AE316" s="81"/>
      <c r="AF316" s="81"/>
      <c r="AG316" s="81"/>
      <c r="AH316" s="81"/>
      <c r="AI316" s="81" t="s">
        <v>1968</v>
      </c>
      <c r="AJ316" s="88">
        <v>41478.6846875</v>
      </c>
      <c r="AK316" s="86" t="str">
        <f>HYPERLINK("https://yt3.ggpht.com/ytc/AIf8zZRLgBbGShAMGm8vdm3mVRn8uFgaxZ9f-mTiSg=s88-c-k-c0x00ffffff-no-rj")</f>
        <v>https://yt3.ggpht.com/ytc/AIf8zZRLgBbGShAMGm8vdm3mVRn8uFgaxZ9f-mTiSg=s88-c-k-c0x00ffffff-no-rj</v>
      </c>
      <c r="AL316" s="81">
        <v>0</v>
      </c>
      <c r="AM316" s="81">
        <v>0</v>
      </c>
      <c r="AN316" s="81">
        <v>0</v>
      </c>
      <c r="AO316" s="81" t="b">
        <v>0</v>
      </c>
      <c r="AP316" s="81">
        <v>0</v>
      </c>
      <c r="AQ316" s="81"/>
      <c r="AR316" s="81"/>
      <c r="AS316" s="81" t="s">
        <v>3378</v>
      </c>
      <c r="AT316" s="86" t="str">
        <f>HYPERLINK("https://www.youtube.com/channel/UCDYIAQcrOstSLjyGnC5sR6w")</f>
        <v>https://www.youtube.com/channel/UCDYIAQcrOstSLjyGnC5sR6w</v>
      </c>
      <c r="AU316" s="81" t="str">
        <f>REPLACE(INDEX(GroupVertices[Group],MATCH("~"&amp;Vertices[[#This Row],[Vertex]],GroupVertices[Vertex],0)),1,1,"")</f>
        <v>1</v>
      </c>
      <c r="AV316" s="49" t="s">
        <v>3462</v>
      </c>
      <c r="AW316" s="49" t="s">
        <v>3462</v>
      </c>
      <c r="AX316" s="49" t="s">
        <v>2419</v>
      </c>
      <c r="AY316" s="49" t="s">
        <v>2419</v>
      </c>
      <c r="AZ316" s="49"/>
      <c r="BA316" s="49"/>
      <c r="BB316" s="117" t="s">
        <v>3974</v>
      </c>
      <c r="BC316" s="117" t="s">
        <v>4364</v>
      </c>
      <c r="BD316" s="117" t="s">
        <v>4668</v>
      </c>
      <c r="BE316" s="117" t="s">
        <v>4668</v>
      </c>
      <c r="BF316" s="2"/>
      <c r="BG316" s="3"/>
      <c r="BH316" s="3"/>
      <c r="BI316" s="3"/>
      <c r="BJ316" s="3"/>
    </row>
    <row r="317" spans="1:62" ht="15">
      <c r="A317" s="66" t="s">
        <v>503</v>
      </c>
      <c r="B317" s="67"/>
      <c r="C317" s="67"/>
      <c r="D317" s="68">
        <v>50</v>
      </c>
      <c r="E317" s="70"/>
      <c r="F317" s="105" t="str">
        <f>HYPERLINK("https://yt3.ggpht.com/ytc/AIf8zZSEI8oiO1ll6H-QvyL1BVnlcK8wzsOQR_8scfYHvg=s88-c-k-c0x00ffffff-no-rj")</f>
        <v>https://yt3.ggpht.com/ytc/AIf8zZSEI8oiO1ll6H-QvyL1BVnlcK8wzsOQR_8scfYHvg=s88-c-k-c0x00ffffff-no-rj</v>
      </c>
      <c r="G317" s="67"/>
      <c r="H317" s="71" t="s">
        <v>2734</v>
      </c>
      <c r="I317" s="72"/>
      <c r="J317" s="72" t="s">
        <v>159</v>
      </c>
      <c r="K317" s="71" t="s">
        <v>2734</v>
      </c>
      <c r="L317" s="75">
        <v>1</v>
      </c>
      <c r="M317" s="76">
        <v>3493.64697265625</v>
      </c>
      <c r="N317" s="76">
        <v>5876.19775390625</v>
      </c>
      <c r="O317" s="77"/>
      <c r="P317" s="78"/>
      <c r="Q317" s="78"/>
      <c r="R317" s="90"/>
      <c r="S317" s="49">
        <v>0</v>
      </c>
      <c r="T317" s="49">
        <v>1</v>
      </c>
      <c r="U317" s="50">
        <v>0</v>
      </c>
      <c r="V317" s="50">
        <v>0.231785</v>
      </c>
      <c r="W317" s="51"/>
      <c r="X317" s="51"/>
      <c r="Y317" s="51"/>
      <c r="Z317" s="50"/>
      <c r="AA317" s="73">
        <v>317</v>
      </c>
      <c r="AB317" s="73"/>
      <c r="AC317" s="74"/>
      <c r="AD317" s="81" t="s">
        <v>2734</v>
      </c>
      <c r="AE317" s="81"/>
      <c r="AF317" s="81"/>
      <c r="AG317" s="81"/>
      <c r="AH317" s="81"/>
      <c r="AI317" s="81" t="s">
        <v>1969</v>
      </c>
      <c r="AJ317" s="88">
        <v>41134.21480324074</v>
      </c>
      <c r="AK317" s="86" t="str">
        <f>HYPERLINK("https://yt3.ggpht.com/ytc/AIf8zZSEI8oiO1ll6H-QvyL1BVnlcK8wzsOQR_8scfYHvg=s88-c-k-c0x00ffffff-no-rj")</f>
        <v>https://yt3.ggpht.com/ytc/AIf8zZSEI8oiO1ll6H-QvyL1BVnlcK8wzsOQR_8scfYHvg=s88-c-k-c0x00ffffff-no-rj</v>
      </c>
      <c r="AL317" s="81">
        <v>0</v>
      </c>
      <c r="AM317" s="81">
        <v>0</v>
      </c>
      <c r="AN317" s="81">
        <v>0</v>
      </c>
      <c r="AO317" s="81" t="b">
        <v>0</v>
      </c>
      <c r="AP317" s="81">
        <v>0</v>
      </c>
      <c r="AQ317" s="81"/>
      <c r="AR317" s="81"/>
      <c r="AS317" s="81" t="s">
        <v>3378</v>
      </c>
      <c r="AT317" s="86" t="str">
        <f>HYPERLINK("https://www.youtube.com/channel/UCUFAejaSPvGBiBbLXW0m5qg")</f>
        <v>https://www.youtube.com/channel/UCUFAejaSPvGBiBbLXW0m5qg</v>
      </c>
      <c r="AU317" s="81" t="str">
        <f>REPLACE(INDEX(GroupVertices[Group],MATCH("~"&amp;Vertices[[#This Row],[Vertex]],GroupVertices[Vertex],0)),1,1,"")</f>
        <v>1</v>
      </c>
      <c r="AV317" s="49"/>
      <c r="AW317" s="49"/>
      <c r="AX317" s="49"/>
      <c r="AY317" s="49"/>
      <c r="AZ317" s="49"/>
      <c r="BA317" s="49"/>
      <c r="BB317" s="117" t="s">
        <v>3975</v>
      </c>
      <c r="BC317" s="117" t="s">
        <v>3975</v>
      </c>
      <c r="BD317" s="117" t="s">
        <v>4669</v>
      </c>
      <c r="BE317" s="117" t="s">
        <v>4669</v>
      </c>
      <c r="BF317" s="2"/>
      <c r="BG317" s="3"/>
      <c r="BH317" s="3"/>
      <c r="BI317" s="3"/>
      <c r="BJ317" s="3"/>
    </row>
    <row r="318" spans="1:62" ht="15">
      <c r="A318" s="66" t="s">
        <v>504</v>
      </c>
      <c r="B318" s="67"/>
      <c r="C318" s="67"/>
      <c r="D318" s="68">
        <v>50</v>
      </c>
      <c r="E318" s="70"/>
      <c r="F318" s="105" t="str">
        <f>HYPERLINK("https://yt3.ggpht.com/uHuke-Q1DQQYow6LcIR-9WCmulD8G-zWJg3meP5ARsXoxGjv70CLFvDinLnOEot4wjB9MZwf=s88-c-k-c0x00ffffff-no-rj")</f>
        <v>https://yt3.ggpht.com/uHuke-Q1DQQYow6LcIR-9WCmulD8G-zWJg3meP5ARsXoxGjv70CLFvDinLnOEot4wjB9MZwf=s88-c-k-c0x00ffffff-no-rj</v>
      </c>
      <c r="G318" s="67"/>
      <c r="H318" s="71" t="s">
        <v>2735</v>
      </c>
      <c r="I318" s="72"/>
      <c r="J318" s="72" t="s">
        <v>159</v>
      </c>
      <c r="K318" s="71" t="s">
        <v>2735</v>
      </c>
      <c r="L318" s="75">
        <v>1</v>
      </c>
      <c r="M318" s="76">
        <v>2082.290771484375</v>
      </c>
      <c r="N318" s="76">
        <v>7965.97607421875</v>
      </c>
      <c r="O318" s="77"/>
      <c r="P318" s="78"/>
      <c r="Q318" s="78"/>
      <c r="R318" s="90"/>
      <c r="S318" s="49">
        <v>0</v>
      </c>
      <c r="T318" s="49">
        <v>1</v>
      </c>
      <c r="U318" s="50">
        <v>0</v>
      </c>
      <c r="V318" s="50">
        <v>0.231785</v>
      </c>
      <c r="W318" s="51"/>
      <c r="X318" s="51"/>
      <c r="Y318" s="51"/>
      <c r="Z318" s="50"/>
      <c r="AA318" s="73">
        <v>318</v>
      </c>
      <c r="AB318" s="73"/>
      <c r="AC318" s="74"/>
      <c r="AD318" s="81" t="s">
        <v>2735</v>
      </c>
      <c r="AE318" s="81" t="s">
        <v>3171</v>
      </c>
      <c r="AF318" s="81"/>
      <c r="AG318" s="81"/>
      <c r="AH318" s="81"/>
      <c r="AI318" s="81" t="s">
        <v>3292</v>
      </c>
      <c r="AJ318" s="88">
        <v>43745.741793981484</v>
      </c>
      <c r="AK318" s="86" t="str">
        <f>HYPERLINK("https://yt3.ggpht.com/uHuke-Q1DQQYow6LcIR-9WCmulD8G-zWJg3meP5ARsXoxGjv70CLFvDinLnOEot4wjB9MZwf=s88-c-k-c0x00ffffff-no-rj")</f>
        <v>https://yt3.ggpht.com/uHuke-Q1DQQYow6LcIR-9WCmulD8G-zWJg3meP5ARsXoxGjv70CLFvDinLnOEot4wjB9MZwf=s88-c-k-c0x00ffffff-no-rj</v>
      </c>
      <c r="AL318" s="81">
        <v>13764</v>
      </c>
      <c r="AM318" s="81">
        <v>0</v>
      </c>
      <c r="AN318" s="81">
        <v>177</v>
      </c>
      <c r="AO318" s="81" t="b">
        <v>0</v>
      </c>
      <c r="AP318" s="81">
        <v>22</v>
      </c>
      <c r="AQ318" s="81"/>
      <c r="AR318" s="81"/>
      <c r="AS318" s="81" t="s">
        <v>3378</v>
      </c>
      <c r="AT318" s="86" t="str">
        <f>HYPERLINK("https://www.youtube.com/channel/UCFhRTpfl_Y43iIYkyNiTzAw")</f>
        <v>https://www.youtube.com/channel/UCFhRTpfl_Y43iIYkyNiTzAw</v>
      </c>
      <c r="AU318" s="81" t="str">
        <f>REPLACE(INDEX(GroupVertices[Group],MATCH("~"&amp;Vertices[[#This Row],[Vertex]],GroupVertices[Vertex],0)),1,1,"")</f>
        <v>1</v>
      </c>
      <c r="AV318" s="49"/>
      <c r="AW318" s="49"/>
      <c r="AX318" s="49"/>
      <c r="AY318" s="49"/>
      <c r="AZ318" s="49"/>
      <c r="BA318" s="49"/>
      <c r="BB318" s="117" t="s">
        <v>3976</v>
      </c>
      <c r="BC318" s="117" t="s">
        <v>3976</v>
      </c>
      <c r="BD318" s="117" t="s">
        <v>2423</v>
      </c>
      <c r="BE318" s="117" t="s">
        <v>2423</v>
      </c>
      <c r="BF318" s="2"/>
      <c r="BG318" s="3"/>
      <c r="BH318" s="3"/>
      <c r="BI318" s="3"/>
      <c r="BJ318" s="3"/>
    </row>
    <row r="319" spans="1:62" ht="15">
      <c r="A319" s="66" t="s">
        <v>505</v>
      </c>
      <c r="B319" s="67"/>
      <c r="C319" s="67"/>
      <c r="D319" s="68">
        <v>50</v>
      </c>
      <c r="E319" s="70"/>
      <c r="F319" s="105" t="str">
        <f>HYPERLINK("https://yt3.ggpht.com/ytc/AIf8zZSFxd92Q0sBO-D6zsC93YJk_wCvWlUzIAqAdFwi9w=s88-c-k-c0x00ffffff-no-rj")</f>
        <v>https://yt3.ggpht.com/ytc/AIf8zZSFxd92Q0sBO-D6zsC93YJk_wCvWlUzIAqAdFwi9w=s88-c-k-c0x00ffffff-no-rj</v>
      </c>
      <c r="G319" s="67"/>
      <c r="H319" s="71" t="s">
        <v>2736</v>
      </c>
      <c r="I319" s="72"/>
      <c r="J319" s="72" t="s">
        <v>159</v>
      </c>
      <c r="K319" s="71" t="s">
        <v>2736</v>
      </c>
      <c r="L319" s="75">
        <v>1</v>
      </c>
      <c r="M319" s="76">
        <v>2740.313232421875</v>
      </c>
      <c r="N319" s="76">
        <v>6483.22412109375</v>
      </c>
      <c r="O319" s="77"/>
      <c r="P319" s="78"/>
      <c r="Q319" s="78"/>
      <c r="R319" s="90"/>
      <c r="S319" s="49">
        <v>0</v>
      </c>
      <c r="T319" s="49">
        <v>1</v>
      </c>
      <c r="U319" s="50">
        <v>0</v>
      </c>
      <c r="V319" s="50">
        <v>0.231785</v>
      </c>
      <c r="W319" s="51"/>
      <c r="X319" s="51"/>
      <c r="Y319" s="51"/>
      <c r="Z319" s="50"/>
      <c r="AA319" s="73">
        <v>319</v>
      </c>
      <c r="AB319" s="73"/>
      <c r="AC319" s="74"/>
      <c r="AD319" s="81" t="s">
        <v>2736</v>
      </c>
      <c r="AE319" s="81" t="s">
        <v>3172</v>
      </c>
      <c r="AF319" s="81"/>
      <c r="AG319" s="81"/>
      <c r="AH319" s="81"/>
      <c r="AI319" s="81" t="s">
        <v>3293</v>
      </c>
      <c r="AJ319" s="88">
        <v>39644.059270833335</v>
      </c>
      <c r="AK319" s="86" t="str">
        <f>HYPERLINK("https://yt3.ggpht.com/ytc/AIf8zZSFxd92Q0sBO-D6zsC93YJk_wCvWlUzIAqAdFwi9w=s88-c-k-c0x00ffffff-no-rj")</f>
        <v>https://yt3.ggpht.com/ytc/AIf8zZSFxd92Q0sBO-D6zsC93YJk_wCvWlUzIAqAdFwi9w=s88-c-k-c0x00ffffff-no-rj</v>
      </c>
      <c r="AL319" s="81">
        <v>1763</v>
      </c>
      <c r="AM319" s="81">
        <v>0</v>
      </c>
      <c r="AN319" s="81">
        <v>1</v>
      </c>
      <c r="AO319" s="81" t="b">
        <v>0</v>
      </c>
      <c r="AP319" s="81">
        <v>36</v>
      </c>
      <c r="AQ319" s="81"/>
      <c r="AR319" s="81"/>
      <c r="AS319" s="81" t="s">
        <v>3378</v>
      </c>
      <c r="AT319" s="86" t="str">
        <f>HYPERLINK("https://www.youtube.com/channel/UC3ExVgjQaiotHiHLuNVf3EA")</f>
        <v>https://www.youtube.com/channel/UC3ExVgjQaiotHiHLuNVf3EA</v>
      </c>
      <c r="AU319" s="81" t="str">
        <f>REPLACE(INDEX(GroupVertices[Group],MATCH("~"&amp;Vertices[[#This Row],[Vertex]],GroupVertices[Vertex],0)),1,1,"")</f>
        <v>1</v>
      </c>
      <c r="AV319" s="49"/>
      <c r="AW319" s="49"/>
      <c r="AX319" s="49"/>
      <c r="AY319" s="49"/>
      <c r="AZ319" s="49"/>
      <c r="BA319" s="49"/>
      <c r="BB319" s="117" t="s">
        <v>3977</v>
      </c>
      <c r="BC319" s="117" t="s">
        <v>3977</v>
      </c>
      <c r="BD319" s="117" t="s">
        <v>4670</v>
      </c>
      <c r="BE319" s="117" t="s">
        <v>4670</v>
      </c>
      <c r="BF319" s="2"/>
      <c r="BG319" s="3"/>
      <c r="BH319" s="3"/>
      <c r="BI319" s="3"/>
      <c r="BJ319" s="3"/>
    </row>
    <row r="320" spans="1:62" ht="15">
      <c r="A320" s="66" t="s">
        <v>506</v>
      </c>
      <c r="B320" s="67"/>
      <c r="C320" s="67"/>
      <c r="D320" s="68">
        <v>50</v>
      </c>
      <c r="E320" s="70"/>
      <c r="F320" s="105" t="str">
        <f>HYPERLINK("https://yt3.ggpht.com/ytc/AIf8zZSGHcHDceDumNFoKq-txbR5dJiclKQFhe3rW_qBJajW3Iq3faioCFrfzuIxvMbd=s88-c-k-c0x00ffffff-no-rj")</f>
        <v>https://yt3.ggpht.com/ytc/AIf8zZSGHcHDceDumNFoKq-txbR5dJiclKQFhe3rW_qBJajW3Iq3faioCFrfzuIxvMbd=s88-c-k-c0x00ffffff-no-rj</v>
      </c>
      <c r="G320" s="67"/>
      <c r="H320" s="71" t="s">
        <v>2737</v>
      </c>
      <c r="I320" s="72"/>
      <c r="J320" s="72" t="s">
        <v>159</v>
      </c>
      <c r="K320" s="71" t="s">
        <v>2737</v>
      </c>
      <c r="L320" s="75">
        <v>1</v>
      </c>
      <c r="M320" s="76">
        <v>1610.1177978515625</v>
      </c>
      <c r="N320" s="76">
        <v>6553.01318359375</v>
      </c>
      <c r="O320" s="77"/>
      <c r="P320" s="78"/>
      <c r="Q320" s="78"/>
      <c r="R320" s="90"/>
      <c r="S320" s="49">
        <v>0</v>
      </c>
      <c r="T320" s="49">
        <v>1</v>
      </c>
      <c r="U320" s="50">
        <v>0</v>
      </c>
      <c r="V320" s="50">
        <v>0.231785</v>
      </c>
      <c r="W320" s="51"/>
      <c r="X320" s="51"/>
      <c r="Y320" s="51"/>
      <c r="Z320" s="50"/>
      <c r="AA320" s="73">
        <v>320</v>
      </c>
      <c r="AB320" s="73"/>
      <c r="AC320" s="74"/>
      <c r="AD320" s="81" t="s">
        <v>2737</v>
      </c>
      <c r="AE320" s="81" t="s">
        <v>3173</v>
      </c>
      <c r="AF320" s="81"/>
      <c r="AG320" s="81"/>
      <c r="AH320" s="81"/>
      <c r="AI320" s="81" t="s">
        <v>3294</v>
      </c>
      <c r="AJ320" s="88">
        <v>44534.00482638889</v>
      </c>
      <c r="AK320" s="86" t="str">
        <f>HYPERLINK("https://yt3.ggpht.com/ytc/AIf8zZSGHcHDceDumNFoKq-txbR5dJiclKQFhe3rW_qBJajW3Iq3faioCFrfzuIxvMbd=s88-c-k-c0x00ffffff-no-rj")</f>
        <v>https://yt3.ggpht.com/ytc/AIf8zZSGHcHDceDumNFoKq-txbR5dJiclKQFhe3rW_qBJajW3Iq3faioCFrfzuIxvMbd=s88-c-k-c0x00ffffff-no-rj</v>
      </c>
      <c r="AL320" s="81">
        <v>0</v>
      </c>
      <c r="AM320" s="81">
        <v>0</v>
      </c>
      <c r="AN320" s="81">
        <v>0</v>
      </c>
      <c r="AO320" s="81" t="b">
        <v>0</v>
      </c>
      <c r="AP320" s="81">
        <v>0</v>
      </c>
      <c r="AQ320" s="81"/>
      <c r="AR320" s="81"/>
      <c r="AS320" s="81" t="s">
        <v>3378</v>
      </c>
      <c r="AT320" s="86" t="str">
        <f>HYPERLINK("https://www.youtube.com/channel/UCe12zFG2b4YJ9s2932O2w1w")</f>
        <v>https://www.youtube.com/channel/UCe12zFG2b4YJ9s2932O2w1w</v>
      </c>
      <c r="AU320" s="81" t="str">
        <f>REPLACE(INDEX(GroupVertices[Group],MATCH("~"&amp;Vertices[[#This Row],[Vertex]],GroupVertices[Vertex],0)),1,1,"")</f>
        <v>1</v>
      </c>
      <c r="AV320" s="49"/>
      <c r="AW320" s="49"/>
      <c r="AX320" s="49"/>
      <c r="AY320" s="49"/>
      <c r="AZ320" s="49"/>
      <c r="BA320" s="49"/>
      <c r="BB320" s="117" t="s">
        <v>3978</v>
      </c>
      <c r="BC320" s="117" t="s">
        <v>3978</v>
      </c>
      <c r="BD320" s="117" t="s">
        <v>4671</v>
      </c>
      <c r="BE320" s="117" t="s">
        <v>4671</v>
      </c>
      <c r="BF320" s="2"/>
      <c r="BG320" s="3"/>
      <c r="BH320" s="3"/>
      <c r="BI320" s="3"/>
      <c r="BJ320" s="3"/>
    </row>
    <row r="321" spans="1:62" ht="15">
      <c r="A321" s="66" t="s">
        <v>507</v>
      </c>
      <c r="B321" s="67"/>
      <c r="C321" s="67"/>
      <c r="D321" s="68">
        <v>50</v>
      </c>
      <c r="E321" s="70"/>
      <c r="F321" s="105" t="str">
        <f>HYPERLINK("https://yt3.ggpht.com/ytc/AIf8zZRxCDA4keVi--V8j8LNmuL66HRDpJJJKqbqJ0Bw=s88-c-k-c0x00ffffff-no-rj")</f>
        <v>https://yt3.ggpht.com/ytc/AIf8zZRxCDA4keVi--V8j8LNmuL66HRDpJJJKqbqJ0Bw=s88-c-k-c0x00ffffff-no-rj</v>
      </c>
      <c r="G321" s="67"/>
      <c r="H321" s="71" t="s">
        <v>2738</v>
      </c>
      <c r="I321" s="72"/>
      <c r="J321" s="72" t="s">
        <v>159</v>
      </c>
      <c r="K321" s="71" t="s">
        <v>2738</v>
      </c>
      <c r="L321" s="75">
        <v>1</v>
      </c>
      <c r="M321" s="76">
        <v>3253.390380859375</v>
      </c>
      <c r="N321" s="76">
        <v>8956.33984375</v>
      </c>
      <c r="O321" s="77"/>
      <c r="P321" s="78"/>
      <c r="Q321" s="78"/>
      <c r="R321" s="90"/>
      <c r="S321" s="49">
        <v>0</v>
      </c>
      <c r="T321" s="49">
        <v>1</v>
      </c>
      <c r="U321" s="50">
        <v>0</v>
      </c>
      <c r="V321" s="50">
        <v>0.231785</v>
      </c>
      <c r="W321" s="51"/>
      <c r="X321" s="51"/>
      <c r="Y321" s="51"/>
      <c r="Z321" s="50"/>
      <c r="AA321" s="73">
        <v>321</v>
      </c>
      <c r="AB321" s="73"/>
      <c r="AC321" s="74"/>
      <c r="AD321" s="81" t="s">
        <v>2738</v>
      </c>
      <c r="AE321" s="81" t="s">
        <v>3174</v>
      </c>
      <c r="AF321" s="81"/>
      <c r="AG321" s="81"/>
      <c r="AH321" s="81"/>
      <c r="AI321" s="81" t="s">
        <v>1973</v>
      </c>
      <c r="AJ321" s="88">
        <v>42033.16710648148</v>
      </c>
      <c r="AK321" s="86" t="str">
        <f>HYPERLINK("https://yt3.ggpht.com/ytc/AIf8zZRxCDA4keVi--V8j8LNmuL66HRDpJJJKqbqJ0Bw=s88-c-k-c0x00ffffff-no-rj")</f>
        <v>https://yt3.ggpht.com/ytc/AIf8zZRxCDA4keVi--V8j8LNmuL66HRDpJJJKqbqJ0Bw=s88-c-k-c0x00ffffff-no-rj</v>
      </c>
      <c r="AL321" s="81">
        <v>0</v>
      </c>
      <c r="AM321" s="81">
        <v>0</v>
      </c>
      <c r="AN321" s="81">
        <v>0</v>
      </c>
      <c r="AO321" s="81" t="b">
        <v>0</v>
      </c>
      <c r="AP321" s="81">
        <v>0</v>
      </c>
      <c r="AQ321" s="81"/>
      <c r="AR321" s="81"/>
      <c r="AS321" s="81" t="s">
        <v>3378</v>
      </c>
      <c r="AT321" s="86" t="str">
        <f>HYPERLINK("https://www.youtube.com/channel/UCfQq6U6DRzUR6AXTwiSDsbw")</f>
        <v>https://www.youtube.com/channel/UCfQq6U6DRzUR6AXTwiSDsbw</v>
      </c>
      <c r="AU321" s="81" t="str">
        <f>REPLACE(INDEX(GroupVertices[Group],MATCH("~"&amp;Vertices[[#This Row],[Vertex]],GroupVertices[Vertex],0)),1,1,"")</f>
        <v>1</v>
      </c>
      <c r="AV321" s="49"/>
      <c r="AW321" s="49"/>
      <c r="AX321" s="49"/>
      <c r="AY321" s="49"/>
      <c r="AZ321" s="49"/>
      <c r="BA321" s="49"/>
      <c r="BB321" s="117" t="s">
        <v>3979</v>
      </c>
      <c r="BC321" s="117" t="s">
        <v>3979</v>
      </c>
      <c r="BD321" s="117" t="s">
        <v>4672</v>
      </c>
      <c r="BE321" s="117" t="s">
        <v>4672</v>
      </c>
      <c r="BF321" s="2"/>
      <c r="BG321" s="3"/>
      <c r="BH321" s="3"/>
      <c r="BI321" s="3"/>
      <c r="BJ321" s="3"/>
    </row>
    <row r="322" spans="1:62" ht="15">
      <c r="A322" s="66" t="s">
        <v>508</v>
      </c>
      <c r="B322" s="67"/>
      <c r="C322" s="67"/>
      <c r="D322" s="68">
        <v>50</v>
      </c>
      <c r="E322" s="70"/>
      <c r="F322" s="105" t="str">
        <f>HYPERLINK("https://yt3.ggpht.com/ytc/AIf8zZRtnPSXgNRqn5AEgGZG6ybvXGLkHV7JYDRCAb2k9w=s88-c-k-c0x00ffffff-no-rj")</f>
        <v>https://yt3.ggpht.com/ytc/AIf8zZRtnPSXgNRqn5AEgGZG6ybvXGLkHV7JYDRCAb2k9w=s88-c-k-c0x00ffffff-no-rj</v>
      </c>
      <c r="G322" s="67"/>
      <c r="H322" s="71" t="s">
        <v>2739</v>
      </c>
      <c r="I322" s="72"/>
      <c r="J322" s="72" t="s">
        <v>159</v>
      </c>
      <c r="K322" s="71" t="s">
        <v>2739</v>
      </c>
      <c r="L322" s="75">
        <v>1</v>
      </c>
      <c r="M322" s="76">
        <v>1021.6074829101562</v>
      </c>
      <c r="N322" s="76">
        <v>9446.0615234375</v>
      </c>
      <c r="O322" s="77"/>
      <c r="P322" s="78"/>
      <c r="Q322" s="78"/>
      <c r="R322" s="90"/>
      <c r="S322" s="49">
        <v>0</v>
      </c>
      <c r="T322" s="49">
        <v>1</v>
      </c>
      <c r="U322" s="50">
        <v>0</v>
      </c>
      <c r="V322" s="50">
        <v>0.231785</v>
      </c>
      <c r="W322" s="51"/>
      <c r="X322" s="51"/>
      <c r="Y322" s="51"/>
      <c r="Z322" s="50"/>
      <c r="AA322" s="73">
        <v>322</v>
      </c>
      <c r="AB322" s="73"/>
      <c r="AC322" s="74"/>
      <c r="AD322" s="81" t="s">
        <v>2739</v>
      </c>
      <c r="AE322" s="81"/>
      <c r="AF322" s="81"/>
      <c r="AG322" s="81"/>
      <c r="AH322" s="81"/>
      <c r="AI322" s="81" t="s">
        <v>1974</v>
      </c>
      <c r="AJ322" s="88">
        <v>40850.29457175926</v>
      </c>
      <c r="AK322" s="86" t="str">
        <f>HYPERLINK("https://yt3.ggpht.com/ytc/AIf8zZRtnPSXgNRqn5AEgGZG6ybvXGLkHV7JYDRCAb2k9w=s88-c-k-c0x00ffffff-no-rj")</f>
        <v>https://yt3.ggpht.com/ytc/AIf8zZRtnPSXgNRqn5AEgGZG6ybvXGLkHV7JYDRCAb2k9w=s88-c-k-c0x00ffffff-no-rj</v>
      </c>
      <c r="AL322" s="81">
        <v>0</v>
      </c>
      <c r="AM322" s="81">
        <v>0</v>
      </c>
      <c r="AN322" s="81">
        <v>10</v>
      </c>
      <c r="AO322" s="81" t="b">
        <v>0</v>
      </c>
      <c r="AP322" s="81">
        <v>0</v>
      </c>
      <c r="AQ322" s="81"/>
      <c r="AR322" s="81"/>
      <c r="AS322" s="81" t="s">
        <v>3378</v>
      </c>
      <c r="AT322" s="86" t="str">
        <f>HYPERLINK("https://www.youtube.com/channel/UCssGlCd583F9i_ddVDhw1FQ")</f>
        <v>https://www.youtube.com/channel/UCssGlCd583F9i_ddVDhw1FQ</v>
      </c>
      <c r="AU322" s="81" t="str">
        <f>REPLACE(INDEX(GroupVertices[Group],MATCH("~"&amp;Vertices[[#This Row],[Vertex]],GroupVertices[Vertex],0)),1,1,"")</f>
        <v>1</v>
      </c>
      <c r="AV322" s="49"/>
      <c r="AW322" s="49"/>
      <c r="AX322" s="49"/>
      <c r="AY322" s="49"/>
      <c r="AZ322" s="49"/>
      <c r="BA322" s="49"/>
      <c r="BB322" s="117" t="s">
        <v>3980</v>
      </c>
      <c r="BC322" s="117" t="s">
        <v>3980</v>
      </c>
      <c r="BD322" s="117" t="s">
        <v>4673</v>
      </c>
      <c r="BE322" s="117" t="s">
        <v>4673</v>
      </c>
      <c r="BF322" s="2"/>
      <c r="BG322" s="3"/>
      <c r="BH322" s="3"/>
      <c r="BI322" s="3"/>
      <c r="BJ322" s="3"/>
    </row>
    <row r="323" spans="1:62" ht="15">
      <c r="A323" s="66" t="s">
        <v>509</v>
      </c>
      <c r="B323" s="67"/>
      <c r="C323" s="67"/>
      <c r="D323" s="68">
        <v>50</v>
      </c>
      <c r="E323" s="70"/>
      <c r="F323" s="105" t="str">
        <f>HYPERLINK("https://yt3.ggpht.com/ytc/AIf8zZRoU3g1wBf9_5d7Wr_oeMzpeby0Vski9KEutg=s88-c-k-c0x00ffffff-no-rj")</f>
        <v>https://yt3.ggpht.com/ytc/AIf8zZRoU3g1wBf9_5d7Wr_oeMzpeby0Vski9KEutg=s88-c-k-c0x00ffffff-no-rj</v>
      </c>
      <c r="G323" s="67"/>
      <c r="H323" s="71" t="s">
        <v>2740</v>
      </c>
      <c r="I323" s="72"/>
      <c r="J323" s="72" t="s">
        <v>159</v>
      </c>
      <c r="K323" s="71" t="s">
        <v>2740</v>
      </c>
      <c r="L323" s="75">
        <v>1</v>
      </c>
      <c r="M323" s="76">
        <v>1580.595458984375</v>
      </c>
      <c r="N323" s="76">
        <v>9687.9921875</v>
      </c>
      <c r="O323" s="77"/>
      <c r="P323" s="78"/>
      <c r="Q323" s="78"/>
      <c r="R323" s="90"/>
      <c r="S323" s="49">
        <v>0</v>
      </c>
      <c r="T323" s="49">
        <v>1</v>
      </c>
      <c r="U323" s="50">
        <v>0</v>
      </c>
      <c r="V323" s="50">
        <v>0.231785</v>
      </c>
      <c r="W323" s="51"/>
      <c r="X323" s="51"/>
      <c r="Y323" s="51"/>
      <c r="Z323" s="50"/>
      <c r="AA323" s="73">
        <v>323</v>
      </c>
      <c r="AB323" s="73"/>
      <c r="AC323" s="74"/>
      <c r="AD323" s="81" t="s">
        <v>2740</v>
      </c>
      <c r="AE323" s="81"/>
      <c r="AF323" s="81"/>
      <c r="AG323" s="81"/>
      <c r="AH323" s="81"/>
      <c r="AI323" s="81" t="s">
        <v>1975</v>
      </c>
      <c r="AJ323" s="88">
        <v>40841.00989583333</v>
      </c>
      <c r="AK323" s="86" t="str">
        <f>HYPERLINK("https://yt3.ggpht.com/ytc/AIf8zZRoU3g1wBf9_5d7Wr_oeMzpeby0Vski9KEutg=s88-c-k-c0x00ffffff-no-rj")</f>
        <v>https://yt3.ggpht.com/ytc/AIf8zZRoU3g1wBf9_5d7Wr_oeMzpeby0Vski9KEutg=s88-c-k-c0x00ffffff-no-rj</v>
      </c>
      <c r="AL323" s="81">
        <v>61</v>
      </c>
      <c r="AM323" s="81">
        <v>0</v>
      </c>
      <c r="AN323" s="81">
        <v>0</v>
      </c>
      <c r="AO323" s="81" t="b">
        <v>0</v>
      </c>
      <c r="AP323" s="81">
        <v>2</v>
      </c>
      <c r="AQ323" s="81"/>
      <c r="AR323" s="81"/>
      <c r="AS323" s="81" t="s">
        <v>3378</v>
      </c>
      <c r="AT323" s="86" t="str">
        <f>HYPERLINK("https://www.youtube.com/channel/UCQqb0hqrx6k7xN5rP4bLI8Q")</f>
        <v>https://www.youtube.com/channel/UCQqb0hqrx6k7xN5rP4bLI8Q</v>
      </c>
      <c r="AU323" s="81" t="str">
        <f>REPLACE(INDEX(GroupVertices[Group],MATCH("~"&amp;Vertices[[#This Row],[Vertex]],GroupVertices[Vertex],0)),1,1,"")</f>
        <v>1</v>
      </c>
      <c r="AV323" s="49"/>
      <c r="AW323" s="49"/>
      <c r="AX323" s="49"/>
      <c r="AY323" s="49"/>
      <c r="AZ323" s="49"/>
      <c r="BA323" s="49"/>
      <c r="BB323" s="117" t="s">
        <v>3981</v>
      </c>
      <c r="BC323" s="117" t="s">
        <v>3981</v>
      </c>
      <c r="BD323" s="117" t="s">
        <v>4674</v>
      </c>
      <c r="BE323" s="117" t="s">
        <v>4674</v>
      </c>
      <c r="BF323" s="2"/>
      <c r="BG323" s="3"/>
      <c r="BH323" s="3"/>
      <c r="BI323" s="3"/>
      <c r="BJ323" s="3"/>
    </row>
    <row r="324" spans="1:62" ht="15">
      <c r="A324" s="66" t="s">
        <v>510</v>
      </c>
      <c r="B324" s="67"/>
      <c r="C324" s="67"/>
      <c r="D324" s="68">
        <v>50</v>
      </c>
      <c r="E324" s="70"/>
      <c r="F324" s="105" t="str">
        <f>HYPERLINK("https://yt3.ggpht.com/1-Dxmji-VlL8WooODZmGyiDFWP627JQQGykrbsvihpJRPoZ1GxF478536PMiFHvVWy9QvFXHFw=s88-c-k-c0x00ffffff-no-rj")</f>
        <v>https://yt3.ggpht.com/1-Dxmji-VlL8WooODZmGyiDFWP627JQQGykrbsvihpJRPoZ1GxF478536PMiFHvVWy9QvFXHFw=s88-c-k-c0x00ffffff-no-rj</v>
      </c>
      <c r="G324" s="67"/>
      <c r="H324" s="71" t="s">
        <v>2741</v>
      </c>
      <c r="I324" s="72"/>
      <c r="J324" s="72" t="s">
        <v>159</v>
      </c>
      <c r="K324" s="71" t="s">
        <v>2741</v>
      </c>
      <c r="L324" s="75">
        <v>1</v>
      </c>
      <c r="M324" s="76">
        <v>2897.102294921875</v>
      </c>
      <c r="N324" s="76">
        <v>6934.451171875</v>
      </c>
      <c r="O324" s="77"/>
      <c r="P324" s="78"/>
      <c r="Q324" s="78"/>
      <c r="R324" s="90"/>
      <c r="S324" s="49">
        <v>0</v>
      </c>
      <c r="T324" s="49">
        <v>1</v>
      </c>
      <c r="U324" s="50">
        <v>0</v>
      </c>
      <c r="V324" s="50">
        <v>0.231785</v>
      </c>
      <c r="W324" s="51"/>
      <c r="X324" s="51"/>
      <c r="Y324" s="51"/>
      <c r="Z324" s="50"/>
      <c r="AA324" s="73">
        <v>324</v>
      </c>
      <c r="AB324" s="73"/>
      <c r="AC324" s="74"/>
      <c r="AD324" s="81" t="s">
        <v>2741</v>
      </c>
      <c r="AE324" s="81"/>
      <c r="AF324" s="81"/>
      <c r="AG324" s="81"/>
      <c r="AH324" s="81"/>
      <c r="AI324" s="81" t="s">
        <v>1976</v>
      </c>
      <c r="AJ324" s="88">
        <v>44940.99616898148</v>
      </c>
      <c r="AK324" s="86" t="str">
        <f>HYPERLINK("https://yt3.ggpht.com/1-Dxmji-VlL8WooODZmGyiDFWP627JQQGykrbsvihpJRPoZ1GxF478536PMiFHvVWy9QvFXHFw=s88-c-k-c0x00ffffff-no-rj")</f>
        <v>https://yt3.ggpht.com/1-Dxmji-VlL8WooODZmGyiDFWP627JQQGykrbsvihpJRPoZ1GxF478536PMiFHvVWy9QvFXHFw=s88-c-k-c0x00ffffff-no-rj</v>
      </c>
      <c r="AL324" s="81">
        <v>156</v>
      </c>
      <c r="AM324" s="81">
        <v>0</v>
      </c>
      <c r="AN324" s="81">
        <v>1</v>
      </c>
      <c r="AO324" s="81" t="b">
        <v>0</v>
      </c>
      <c r="AP324" s="81">
        <v>10</v>
      </c>
      <c r="AQ324" s="81"/>
      <c r="AR324" s="81"/>
      <c r="AS324" s="81" t="s">
        <v>3378</v>
      </c>
      <c r="AT324" s="86" t="str">
        <f>HYPERLINK("https://www.youtube.com/channel/UC8TKlK89va7w9xibnrYYewQ")</f>
        <v>https://www.youtube.com/channel/UC8TKlK89va7w9xibnrYYewQ</v>
      </c>
      <c r="AU324" s="81" t="str">
        <f>REPLACE(INDEX(GroupVertices[Group],MATCH("~"&amp;Vertices[[#This Row],[Vertex]],GroupVertices[Vertex],0)),1,1,"")</f>
        <v>1</v>
      </c>
      <c r="AV324" s="49"/>
      <c r="AW324" s="49"/>
      <c r="AX324" s="49"/>
      <c r="AY324" s="49"/>
      <c r="AZ324" s="49"/>
      <c r="BA324" s="49"/>
      <c r="BB324" s="117" t="s">
        <v>3982</v>
      </c>
      <c r="BC324" s="117" t="s">
        <v>3982</v>
      </c>
      <c r="BD324" s="117" t="s">
        <v>2423</v>
      </c>
      <c r="BE324" s="117" t="s">
        <v>2423</v>
      </c>
      <c r="BF324" s="2"/>
      <c r="BG324" s="3"/>
      <c r="BH324" s="3"/>
      <c r="BI324" s="3"/>
      <c r="BJ324" s="3"/>
    </row>
    <row r="325" spans="1:62" ht="15">
      <c r="A325" s="66" t="s">
        <v>511</v>
      </c>
      <c r="B325" s="67"/>
      <c r="C325" s="67"/>
      <c r="D325" s="68">
        <v>50</v>
      </c>
      <c r="E325" s="70"/>
      <c r="F325" s="105" t="str">
        <f>HYPERLINK("https://yt3.ggpht.com/ytc/AIf8zZQGzW_6Zd5nAOTUan4eMJSQW8usIv40jL9t8s9SIcydoZHwsVOYdXbKSwy0SQRi=s88-c-k-c0x00ffffff-no-rj")</f>
        <v>https://yt3.ggpht.com/ytc/AIf8zZQGzW_6Zd5nAOTUan4eMJSQW8usIv40jL9t8s9SIcydoZHwsVOYdXbKSwy0SQRi=s88-c-k-c0x00ffffff-no-rj</v>
      </c>
      <c r="G325" s="67"/>
      <c r="H325" s="71" t="s">
        <v>2742</v>
      </c>
      <c r="I325" s="72"/>
      <c r="J325" s="72" t="s">
        <v>159</v>
      </c>
      <c r="K325" s="71" t="s">
        <v>2742</v>
      </c>
      <c r="L325" s="75">
        <v>1</v>
      </c>
      <c r="M325" s="76">
        <v>256.2635498046875</v>
      </c>
      <c r="N325" s="76">
        <v>7820.01904296875</v>
      </c>
      <c r="O325" s="77"/>
      <c r="P325" s="78"/>
      <c r="Q325" s="78"/>
      <c r="R325" s="90"/>
      <c r="S325" s="49">
        <v>0</v>
      </c>
      <c r="T325" s="49">
        <v>1</v>
      </c>
      <c r="U325" s="50">
        <v>0</v>
      </c>
      <c r="V325" s="50">
        <v>0.231785</v>
      </c>
      <c r="W325" s="51"/>
      <c r="X325" s="51"/>
      <c r="Y325" s="51"/>
      <c r="Z325" s="50"/>
      <c r="AA325" s="73">
        <v>325</v>
      </c>
      <c r="AB325" s="73"/>
      <c r="AC325" s="74"/>
      <c r="AD325" s="81" t="s">
        <v>2742</v>
      </c>
      <c r="AE325" s="81"/>
      <c r="AF325" s="81"/>
      <c r="AG325" s="81"/>
      <c r="AH325" s="81"/>
      <c r="AI325" s="81" t="s">
        <v>3295</v>
      </c>
      <c r="AJ325" s="88">
        <v>41537.396261574075</v>
      </c>
      <c r="AK325" s="86" t="str">
        <f>HYPERLINK("https://yt3.ggpht.com/ytc/AIf8zZQGzW_6Zd5nAOTUan4eMJSQW8usIv40jL9t8s9SIcydoZHwsVOYdXbKSwy0SQRi=s88-c-k-c0x00ffffff-no-rj")</f>
        <v>https://yt3.ggpht.com/ytc/AIf8zZQGzW_6Zd5nAOTUan4eMJSQW8usIv40jL9t8s9SIcydoZHwsVOYdXbKSwy0SQRi=s88-c-k-c0x00ffffff-no-rj</v>
      </c>
      <c r="AL325" s="81">
        <v>0</v>
      </c>
      <c r="AM325" s="81">
        <v>0</v>
      </c>
      <c r="AN325" s="81">
        <v>0</v>
      </c>
      <c r="AO325" s="81" t="b">
        <v>0</v>
      </c>
      <c r="AP325" s="81">
        <v>0</v>
      </c>
      <c r="AQ325" s="81"/>
      <c r="AR325" s="81"/>
      <c r="AS325" s="81" t="s">
        <v>3378</v>
      </c>
      <c r="AT325" s="86" t="str">
        <f>HYPERLINK("https://www.youtube.com/channel/UCrzwKG4qZDhIGDPN0jO_wzQ")</f>
        <v>https://www.youtube.com/channel/UCrzwKG4qZDhIGDPN0jO_wzQ</v>
      </c>
      <c r="AU325" s="81" t="str">
        <f>REPLACE(INDEX(GroupVertices[Group],MATCH("~"&amp;Vertices[[#This Row],[Vertex]],GroupVertices[Vertex],0)),1,1,"")</f>
        <v>1</v>
      </c>
      <c r="AV325" s="49"/>
      <c r="AW325" s="49"/>
      <c r="AX325" s="49"/>
      <c r="AY325" s="49"/>
      <c r="AZ325" s="49"/>
      <c r="BA325" s="49"/>
      <c r="BB325" s="117" t="s">
        <v>3983</v>
      </c>
      <c r="BC325" s="117" t="s">
        <v>3983</v>
      </c>
      <c r="BD325" s="117" t="s">
        <v>4675</v>
      </c>
      <c r="BE325" s="117" t="s">
        <v>4675</v>
      </c>
      <c r="BF325" s="2"/>
      <c r="BG325" s="3"/>
      <c r="BH325" s="3"/>
      <c r="BI325" s="3"/>
      <c r="BJ325" s="3"/>
    </row>
    <row r="326" spans="1:62" ht="15">
      <c r="A326" s="66" t="s">
        <v>512</v>
      </c>
      <c r="B326" s="67"/>
      <c r="C326" s="67"/>
      <c r="D326" s="68">
        <v>50</v>
      </c>
      <c r="E326" s="70"/>
      <c r="F326" s="105" t="str">
        <f>HYPERLINK("https://yt3.ggpht.com/ytc/AIf8zZTMftB-P4KoXoCODcnKQFAoJ-m1kOD_ZlOeUA=s88-c-k-c0x00ffffff-no-rj")</f>
        <v>https://yt3.ggpht.com/ytc/AIf8zZTMftB-P4KoXoCODcnKQFAoJ-m1kOD_ZlOeUA=s88-c-k-c0x00ffffff-no-rj</v>
      </c>
      <c r="G326" s="67"/>
      <c r="H326" s="71" t="s">
        <v>2743</v>
      </c>
      <c r="I326" s="72"/>
      <c r="J326" s="72" t="s">
        <v>159</v>
      </c>
      <c r="K326" s="71" t="s">
        <v>2743</v>
      </c>
      <c r="L326" s="75">
        <v>1</v>
      </c>
      <c r="M326" s="76">
        <v>1565.488037109375</v>
      </c>
      <c r="N326" s="76">
        <v>8852.4072265625</v>
      </c>
      <c r="O326" s="77"/>
      <c r="P326" s="78"/>
      <c r="Q326" s="78"/>
      <c r="R326" s="90"/>
      <c r="S326" s="49">
        <v>0</v>
      </c>
      <c r="T326" s="49">
        <v>1</v>
      </c>
      <c r="U326" s="50">
        <v>0</v>
      </c>
      <c r="V326" s="50">
        <v>0.231785</v>
      </c>
      <c r="W326" s="51"/>
      <c r="X326" s="51"/>
      <c r="Y326" s="51"/>
      <c r="Z326" s="50"/>
      <c r="AA326" s="73">
        <v>326</v>
      </c>
      <c r="AB326" s="73"/>
      <c r="AC326" s="74"/>
      <c r="AD326" s="81" t="s">
        <v>2743</v>
      </c>
      <c r="AE326" s="81"/>
      <c r="AF326" s="81"/>
      <c r="AG326" s="81"/>
      <c r="AH326" s="81"/>
      <c r="AI326" s="81" t="s">
        <v>1978</v>
      </c>
      <c r="AJ326" s="88">
        <v>42951.76170138889</v>
      </c>
      <c r="AK326" s="86" t="str">
        <f>HYPERLINK("https://yt3.ggpht.com/ytc/AIf8zZTMftB-P4KoXoCODcnKQFAoJ-m1kOD_ZlOeUA=s88-c-k-c0x00ffffff-no-rj")</f>
        <v>https://yt3.ggpht.com/ytc/AIf8zZTMftB-P4KoXoCODcnKQFAoJ-m1kOD_ZlOeUA=s88-c-k-c0x00ffffff-no-rj</v>
      </c>
      <c r="AL326" s="81">
        <v>0</v>
      </c>
      <c r="AM326" s="81">
        <v>0</v>
      </c>
      <c r="AN326" s="81">
        <v>0</v>
      </c>
      <c r="AO326" s="81" t="b">
        <v>0</v>
      </c>
      <c r="AP326" s="81">
        <v>0</v>
      </c>
      <c r="AQ326" s="81"/>
      <c r="AR326" s="81"/>
      <c r="AS326" s="81" t="s">
        <v>3378</v>
      </c>
      <c r="AT326" s="86" t="str">
        <f>HYPERLINK("https://www.youtube.com/channel/UCTXUtV61Kogv2Q6fnM5e3WQ")</f>
        <v>https://www.youtube.com/channel/UCTXUtV61Kogv2Q6fnM5e3WQ</v>
      </c>
      <c r="AU326" s="81" t="str">
        <f>REPLACE(INDEX(GroupVertices[Group],MATCH("~"&amp;Vertices[[#This Row],[Vertex]],GroupVertices[Vertex],0)),1,1,"")</f>
        <v>1</v>
      </c>
      <c r="AV326" s="49"/>
      <c r="AW326" s="49"/>
      <c r="AX326" s="49"/>
      <c r="AY326" s="49"/>
      <c r="AZ326" s="49"/>
      <c r="BA326" s="49"/>
      <c r="BB326" s="117" t="s">
        <v>3984</v>
      </c>
      <c r="BC326" s="117" t="s">
        <v>3984</v>
      </c>
      <c r="BD326" s="117" t="s">
        <v>4676</v>
      </c>
      <c r="BE326" s="117" t="s">
        <v>4676</v>
      </c>
      <c r="BF326" s="2"/>
      <c r="BG326" s="3"/>
      <c r="BH326" s="3"/>
      <c r="BI326" s="3"/>
      <c r="BJ326" s="3"/>
    </row>
    <row r="327" spans="1:62" ht="15">
      <c r="A327" s="66" t="s">
        <v>513</v>
      </c>
      <c r="B327" s="67"/>
      <c r="C327" s="67"/>
      <c r="D327" s="68">
        <v>50</v>
      </c>
      <c r="E327" s="70"/>
      <c r="F327" s="105" t="str">
        <f>HYPERLINK("https://yt3.ggpht.com/ytc/AIf8zZT0dn402pa1yoQdBpof1KvlN0JH2YhRn6NRIg=s88-c-k-c0x00ffffff-no-rj")</f>
        <v>https://yt3.ggpht.com/ytc/AIf8zZT0dn402pa1yoQdBpof1KvlN0JH2YhRn6NRIg=s88-c-k-c0x00ffffff-no-rj</v>
      </c>
      <c r="G327" s="67"/>
      <c r="H327" s="71" t="s">
        <v>2744</v>
      </c>
      <c r="I327" s="72"/>
      <c r="J327" s="72" t="s">
        <v>159</v>
      </c>
      <c r="K327" s="71" t="s">
        <v>2744</v>
      </c>
      <c r="L327" s="75">
        <v>1</v>
      </c>
      <c r="M327" s="76">
        <v>1465.7095947265625</v>
      </c>
      <c r="N327" s="76">
        <v>5857.61083984375</v>
      </c>
      <c r="O327" s="77"/>
      <c r="P327" s="78"/>
      <c r="Q327" s="78"/>
      <c r="R327" s="90"/>
      <c r="S327" s="49">
        <v>0</v>
      </c>
      <c r="T327" s="49">
        <v>1</v>
      </c>
      <c r="U327" s="50">
        <v>0</v>
      </c>
      <c r="V327" s="50">
        <v>0.231785</v>
      </c>
      <c r="W327" s="51"/>
      <c r="X327" s="51"/>
      <c r="Y327" s="51"/>
      <c r="Z327" s="50"/>
      <c r="AA327" s="73">
        <v>327</v>
      </c>
      <c r="AB327" s="73"/>
      <c r="AC327" s="74"/>
      <c r="AD327" s="81" t="s">
        <v>2744</v>
      </c>
      <c r="AE327" s="81"/>
      <c r="AF327" s="81"/>
      <c r="AG327" s="81"/>
      <c r="AH327" s="81"/>
      <c r="AI327" s="81" t="s">
        <v>1979</v>
      </c>
      <c r="AJ327" s="88">
        <v>40897.28412037037</v>
      </c>
      <c r="AK327" s="86" t="str">
        <f>HYPERLINK("https://yt3.ggpht.com/ytc/AIf8zZT0dn402pa1yoQdBpof1KvlN0JH2YhRn6NRIg=s88-c-k-c0x00ffffff-no-rj")</f>
        <v>https://yt3.ggpht.com/ytc/AIf8zZT0dn402pa1yoQdBpof1KvlN0JH2YhRn6NRIg=s88-c-k-c0x00ffffff-no-rj</v>
      </c>
      <c r="AL327" s="81">
        <v>0</v>
      </c>
      <c r="AM327" s="81">
        <v>0</v>
      </c>
      <c r="AN327" s="81">
        <v>1</v>
      </c>
      <c r="AO327" s="81" t="b">
        <v>0</v>
      </c>
      <c r="AP327" s="81">
        <v>0</v>
      </c>
      <c r="AQ327" s="81"/>
      <c r="AR327" s="81"/>
      <c r="AS327" s="81" t="s">
        <v>3378</v>
      </c>
      <c r="AT327" s="86" t="str">
        <f>HYPERLINK("https://www.youtube.com/channel/UCVg1HvSPX4I1JmxNNpx9aWg")</f>
        <v>https://www.youtube.com/channel/UCVg1HvSPX4I1JmxNNpx9aWg</v>
      </c>
      <c r="AU327" s="81" t="str">
        <f>REPLACE(INDEX(GroupVertices[Group],MATCH("~"&amp;Vertices[[#This Row],[Vertex]],GroupVertices[Vertex],0)),1,1,"")</f>
        <v>1</v>
      </c>
      <c r="AV327" s="49"/>
      <c r="AW327" s="49"/>
      <c r="AX327" s="49"/>
      <c r="AY327" s="49"/>
      <c r="AZ327" s="49"/>
      <c r="BA327" s="49"/>
      <c r="BB327" s="117" t="s">
        <v>3985</v>
      </c>
      <c r="BC327" s="117" t="s">
        <v>3985</v>
      </c>
      <c r="BD327" s="117" t="s">
        <v>4677</v>
      </c>
      <c r="BE327" s="117" t="s">
        <v>4677</v>
      </c>
      <c r="BF327" s="2"/>
      <c r="BG327" s="3"/>
      <c r="BH327" s="3"/>
      <c r="BI327" s="3"/>
      <c r="BJ327" s="3"/>
    </row>
    <row r="328" spans="1:62" ht="15">
      <c r="A328" s="66" t="s">
        <v>514</v>
      </c>
      <c r="B328" s="67"/>
      <c r="C328" s="67"/>
      <c r="D328" s="68">
        <v>50</v>
      </c>
      <c r="E328" s="70"/>
      <c r="F328" s="105" t="str">
        <f>HYPERLINK("https://yt3.ggpht.com/ytc/AIf8zZT71BWeTXGalvMkrLLhJsBrlqVz9pcOXgVEQQ=s88-c-k-c0x00ffffff-no-rj")</f>
        <v>https://yt3.ggpht.com/ytc/AIf8zZT71BWeTXGalvMkrLLhJsBrlqVz9pcOXgVEQQ=s88-c-k-c0x00ffffff-no-rj</v>
      </c>
      <c r="G328" s="67"/>
      <c r="H328" s="71" t="s">
        <v>2745</v>
      </c>
      <c r="I328" s="72"/>
      <c r="J328" s="72" t="s">
        <v>159</v>
      </c>
      <c r="K328" s="71" t="s">
        <v>2745</v>
      </c>
      <c r="L328" s="75">
        <v>1</v>
      </c>
      <c r="M328" s="76">
        <v>1390.62890625</v>
      </c>
      <c r="N328" s="76">
        <v>7293.55322265625</v>
      </c>
      <c r="O328" s="77"/>
      <c r="P328" s="78"/>
      <c r="Q328" s="78"/>
      <c r="R328" s="90"/>
      <c r="S328" s="49">
        <v>0</v>
      </c>
      <c r="T328" s="49">
        <v>1</v>
      </c>
      <c r="U328" s="50">
        <v>0</v>
      </c>
      <c r="V328" s="50">
        <v>0.231785</v>
      </c>
      <c r="W328" s="51"/>
      <c r="X328" s="51"/>
      <c r="Y328" s="51"/>
      <c r="Z328" s="50"/>
      <c r="AA328" s="73">
        <v>328</v>
      </c>
      <c r="AB328" s="73"/>
      <c r="AC328" s="74"/>
      <c r="AD328" s="81" t="s">
        <v>2745</v>
      </c>
      <c r="AE328" s="81"/>
      <c r="AF328" s="81"/>
      <c r="AG328" s="81"/>
      <c r="AH328" s="81"/>
      <c r="AI328" s="81" t="s">
        <v>1980</v>
      </c>
      <c r="AJ328" s="88">
        <v>43760.63688657407</v>
      </c>
      <c r="AK328" s="86" t="str">
        <f>HYPERLINK("https://yt3.ggpht.com/ytc/AIf8zZT71BWeTXGalvMkrLLhJsBrlqVz9pcOXgVEQQ=s88-c-k-c0x00ffffff-no-rj")</f>
        <v>https://yt3.ggpht.com/ytc/AIf8zZT71BWeTXGalvMkrLLhJsBrlqVz9pcOXgVEQQ=s88-c-k-c0x00ffffff-no-rj</v>
      </c>
      <c r="AL328" s="81">
        <v>0</v>
      </c>
      <c r="AM328" s="81">
        <v>0</v>
      </c>
      <c r="AN328" s="81">
        <v>1</v>
      </c>
      <c r="AO328" s="81" t="b">
        <v>0</v>
      </c>
      <c r="AP328" s="81">
        <v>0</v>
      </c>
      <c r="AQ328" s="81"/>
      <c r="AR328" s="81"/>
      <c r="AS328" s="81" t="s">
        <v>3378</v>
      </c>
      <c r="AT328" s="86" t="str">
        <f>HYPERLINK("https://www.youtube.com/channel/UCoLyqRHViTRR3Kn0WipQzfw")</f>
        <v>https://www.youtube.com/channel/UCoLyqRHViTRR3Kn0WipQzfw</v>
      </c>
      <c r="AU328" s="81" t="str">
        <f>REPLACE(INDEX(GroupVertices[Group],MATCH("~"&amp;Vertices[[#This Row],[Vertex]],GroupVertices[Vertex],0)),1,1,"")</f>
        <v>1</v>
      </c>
      <c r="AV328" s="49"/>
      <c r="AW328" s="49"/>
      <c r="AX328" s="49"/>
      <c r="AY328" s="49"/>
      <c r="AZ328" s="49"/>
      <c r="BA328" s="49"/>
      <c r="BB328" s="117" t="s">
        <v>3986</v>
      </c>
      <c r="BC328" s="117" t="s">
        <v>3986</v>
      </c>
      <c r="BD328" s="117" t="s">
        <v>4678</v>
      </c>
      <c r="BE328" s="117" t="s">
        <v>4678</v>
      </c>
      <c r="BF328" s="2"/>
      <c r="BG328" s="3"/>
      <c r="BH328" s="3"/>
      <c r="BI328" s="3"/>
      <c r="BJ328" s="3"/>
    </row>
    <row r="329" spans="1:62" ht="15">
      <c r="A329" s="66" t="s">
        <v>515</v>
      </c>
      <c r="B329" s="67"/>
      <c r="C329" s="67"/>
      <c r="D329" s="68">
        <v>50</v>
      </c>
      <c r="E329" s="70"/>
      <c r="F329" s="105" t="str">
        <f>HYPERLINK("https://yt3.ggpht.com/ytc/AIf8zZQe9OzWWfNEJH9pgtRus-4U3vvv2lBM_svtxcfClQ=s88-c-k-c0x00ffffff-no-rj")</f>
        <v>https://yt3.ggpht.com/ytc/AIf8zZQe9OzWWfNEJH9pgtRus-4U3vvv2lBM_svtxcfClQ=s88-c-k-c0x00ffffff-no-rj</v>
      </c>
      <c r="G329" s="67"/>
      <c r="H329" s="71" t="s">
        <v>2746</v>
      </c>
      <c r="I329" s="72"/>
      <c r="J329" s="72" t="s">
        <v>159</v>
      </c>
      <c r="K329" s="71" t="s">
        <v>2746</v>
      </c>
      <c r="L329" s="75">
        <v>1</v>
      </c>
      <c r="M329" s="76">
        <v>344.2713317871094</v>
      </c>
      <c r="N329" s="76">
        <v>7293.43701171875</v>
      </c>
      <c r="O329" s="77"/>
      <c r="P329" s="78"/>
      <c r="Q329" s="78"/>
      <c r="R329" s="90"/>
      <c r="S329" s="49">
        <v>0</v>
      </c>
      <c r="T329" s="49">
        <v>1</v>
      </c>
      <c r="U329" s="50">
        <v>0</v>
      </c>
      <c r="V329" s="50">
        <v>0.231785</v>
      </c>
      <c r="W329" s="51"/>
      <c r="X329" s="51"/>
      <c r="Y329" s="51"/>
      <c r="Z329" s="50"/>
      <c r="AA329" s="73">
        <v>329</v>
      </c>
      <c r="AB329" s="73"/>
      <c r="AC329" s="74"/>
      <c r="AD329" s="81" t="s">
        <v>2746</v>
      </c>
      <c r="AE329" s="81"/>
      <c r="AF329" s="81"/>
      <c r="AG329" s="81"/>
      <c r="AH329" s="81"/>
      <c r="AI329" s="81" t="s">
        <v>3296</v>
      </c>
      <c r="AJ329" s="88">
        <v>39507.70197916667</v>
      </c>
      <c r="AK329" s="86" t="str">
        <f>HYPERLINK("https://yt3.ggpht.com/ytc/AIf8zZQe9OzWWfNEJH9pgtRus-4U3vvv2lBM_svtxcfClQ=s88-c-k-c0x00ffffff-no-rj")</f>
        <v>https://yt3.ggpht.com/ytc/AIf8zZQe9OzWWfNEJH9pgtRus-4U3vvv2lBM_svtxcfClQ=s88-c-k-c0x00ffffff-no-rj</v>
      </c>
      <c r="AL329" s="81">
        <v>12180</v>
      </c>
      <c r="AM329" s="81">
        <v>0</v>
      </c>
      <c r="AN329" s="81">
        <v>13</v>
      </c>
      <c r="AO329" s="81" t="b">
        <v>0</v>
      </c>
      <c r="AP329" s="81">
        <v>46</v>
      </c>
      <c r="AQ329" s="81"/>
      <c r="AR329" s="81"/>
      <c r="AS329" s="81" t="s">
        <v>3378</v>
      </c>
      <c r="AT329" s="86" t="str">
        <f>HYPERLINK("https://www.youtube.com/channel/UC664SWpcq1W8vkA-rPPTspw")</f>
        <v>https://www.youtube.com/channel/UC664SWpcq1W8vkA-rPPTspw</v>
      </c>
      <c r="AU329" s="81" t="str">
        <f>REPLACE(INDEX(GroupVertices[Group],MATCH("~"&amp;Vertices[[#This Row],[Vertex]],GroupVertices[Vertex],0)),1,1,"")</f>
        <v>1</v>
      </c>
      <c r="AV329" s="49"/>
      <c r="AW329" s="49"/>
      <c r="AX329" s="49"/>
      <c r="AY329" s="49"/>
      <c r="AZ329" s="49"/>
      <c r="BA329" s="49"/>
      <c r="BB329" s="117" t="s">
        <v>3987</v>
      </c>
      <c r="BC329" s="117" t="s">
        <v>3987</v>
      </c>
      <c r="BD329" s="117" t="s">
        <v>4679</v>
      </c>
      <c r="BE329" s="117" t="s">
        <v>4679</v>
      </c>
      <c r="BF329" s="2"/>
      <c r="BG329" s="3"/>
      <c r="BH329" s="3"/>
      <c r="BI329" s="3"/>
      <c r="BJ329" s="3"/>
    </row>
    <row r="330" spans="1:62" ht="15">
      <c r="A330" s="66" t="s">
        <v>516</v>
      </c>
      <c r="B330" s="67"/>
      <c r="C330" s="67"/>
      <c r="D330" s="68">
        <v>50</v>
      </c>
      <c r="E330" s="70"/>
      <c r="F330" s="105" t="str">
        <f>HYPERLINK("https://yt3.ggpht.com/ytc/AIf8zZThH123Oc18Wq30iV1yUxArc33WaXJiB9ZJeQ=s88-c-k-c0x00ffffff-no-rj")</f>
        <v>https://yt3.ggpht.com/ytc/AIf8zZThH123Oc18Wq30iV1yUxArc33WaXJiB9ZJeQ=s88-c-k-c0x00ffffff-no-rj</v>
      </c>
      <c r="G330" s="67"/>
      <c r="H330" s="71" t="s">
        <v>2747</v>
      </c>
      <c r="I330" s="72"/>
      <c r="J330" s="72" t="s">
        <v>159</v>
      </c>
      <c r="K330" s="71" t="s">
        <v>2747</v>
      </c>
      <c r="L330" s="75">
        <v>1</v>
      </c>
      <c r="M330" s="76">
        <v>794.7058715820312</v>
      </c>
      <c r="N330" s="76">
        <v>6782.03955078125</v>
      </c>
      <c r="O330" s="77"/>
      <c r="P330" s="78"/>
      <c r="Q330" s="78"/>
      <c r="R330" s="90"/>
      <c r="S330" s="49">
        <v>0</v>
      </c>
      <c r="T330" s="49">
        <v>1</v>
      </c>
      <c r="U330" s="50">
        <v>0</v>
      </c>
      <c r="V330" s="50">
        <v>0.231785</v>
      </c>
      <c r="W330" s="51"/>
      <c r="X330" s="51"/>
      <c r="Y330" s="51"/>
      <c r="Z330" s="50"/>
      <c r="AA330" s="73">
        <v>330</v>
      </c>
      <c r="AB330" s="73"/>
      <c r="AC330" s="74"/>
      <c r="AD330" s="81" t="s">
        <v>2747</v>
      </c>
      <c r="AE330" s="81"/>
      <c r="AF330" s="81"/>
      <c r="AG330" s="81"/>
      <c r="AH330" s="81"/>
      <c r="AI330" s="81" t="s">
        <v>1982</v>
      </c>
      <c r="AJ330" s="88">
        <v>40424.75436342593</v>
      </c>
      <c r="AK330" s="86" t="str">
        <f>HYPERLINK("https://yt3.ggpht.com/ytc/AIf8zZThH123Oc18Wq30iV1yUxArc33WaXJiB9ZJeQ=s88-c-k-c0x00ffffff-no-rj")</f>
        <v>https://yt3.ggpht.com/ytc/AIf8zZThH123Oc18Wq30iV1yUxArc33WaXJiB9ZJeQ=s88-c-k-c0x00ffffff-no-rj</v>
      </c>
      <c r="AL330" s="81">
        <v>0</v>
      </c>
      <c r="AM330" s="81">
        <v>0</v>
      </c>
      <c r="AN330" s="81">
        <v>2</v>
      </c>
      <c r="AO330" s="81" t="b">
        <v>0</v>
      </c>
      <c r="AP330" s="81">
        <v>0</v>
      </c>
      <c r="AQ330" s="81"/>
      <c r="AR330" s="81"/>
      <c r="AS330" s="81" t="s">
        <v>3378</v>
      </c>
      <c r="AT330" s="86" t="str">
        <f>HYPERLINK("https://www.youtube.com/channel/UCnATnRl-Aj0_qgm9JxCyLAw")</f>
        <v>https://www.youtube.com/channel/UCnATnRl-Aj0_qgm9JxCyLAw</v>
      </c>
      <c r="AU330" s="81" t="str">
        <f>REPLACE(INDEX(GroupVertices[Group],MATCH("~"&amp;Vertices[[#This Row],[Vertex]],GroupVertices[Vertex],0)),1,1,"")</f>
        <v>1</v>
      </c>
      <c r="AV330" s="49"/>
      <c r="AW330" s="49"/>
      <c r="AX330" s="49"/>
      <c r="AY330" s="49"/>
      <c r="AZ330" s="49"/>
      <c r="BA330" s="49"/>
      <c r="BB330" s="117" t="s">
        <v>3988</v>
      </c>
      <c r="BC330" s="117" t="s">
        <v>3988</v>
      </c>
      <c r="BD330" s="117" t="s">
        <v>4680</v>
      </c>
      <c r="BE330" s="117" t="s">
        <v>4680</v>
      </c>
      <c r="BF330" s="2"/>
      <c r="BG330" s="3"/>
      <c r="BH330" s="3"/>
      <c r="BI330" s="3"/>
      <c r="BJ330" s="3"/>
    </row>
    <row r="331" spans="1:62" ht="15">
      <c r="A331" s="66" t="s">
        <v>517</v>
      </c>
      <c r="B331" s="67"/>
      <c r="C331" s="67"/>
      <c r="D331" s="68">
        <v>50</v>
      </c>
      <c r="E331" s="70"/>
      <c r="F331" s="105" t="str">
        <f>HYPERLINK("https://yt3.ggpht.com/ytc/AIf8zZRSnGIIzLZqziNqJk9mvQk5MYxg4DxT4HX97q-btg=s88-c-k-c0x00ffffff-no-rj")</f>
        <v>https://yt3.ggpht.com/ytc/AIf8zZRSnGIIzLZqziNqJk9mvQk5MYxg4DxT4HX97q-btg=s88-c-k-c0x00ffffff-no-rj</v>
      </c>
      <c r="G331" s="67"/>
      <c r="H331" s="71" t="s">
        <v>2748</v>
      </c>
      <c r="I331" s="72"/>
      <c r="J331" s="72" t="s">
        <v>159</v>
      </c>
      <c r="K331" s="71" t="s">
        <v>2748</v>
      </c>
      <c r="L331" s="75">
        <v>1</v>
      </c>
      <c r="M331" s="76">
        <v>2620.825927734375</v>
      </c>
      <c r="N331" s="76">
        <v>7364.20458984375</v>
      </c>
      <c r="O331" s="77"/>
      <c r="P331" s="78"/>
      <c r="Q331" s="78"/>
      <c r="R331" s="90"/>
      <c r="S331" s="49">
        <v>0</v>
      </c>
      <c r="T331" s="49">
        <v>1</v>
      </c>
      <c r="U331" s="50">
        <v>0</v>
      </c>
      <c r="V331" s="50">
        <v>0.231785</v>
      </c>
      <c r="W331" s="51"/>
      <c r="X331" s="51"/>
      <c r="Y331" s="51"/>
      <c r="Z331" s="50"/>
      <c r="AA331" s="73">
        <v>331</v>
      </c>
      <c r="AB331" s="73"/>
      <c r="AC331" s="74"/>
      <c r="AD331" s="81" t="s">
        <v>2748</v>
      </c>
      <c r="AE331" s="81"/>
      <c r="AF331" s="81"/>
      <c r="AG331" s="81"/>
      <c r="AH331" s="81"/>
      <c r="AI331" s="81" t="s">
        <v>1983</v>
      </c>
      <c r="AJ331" s="88">
        <v>40842.36732638889</v>
      </c>
      <c r="AK331" s="86" t="str">
        <f>HYPERLINK("https://yt3.ggpht.com/ytc/AIf8zZRSnGIIzLZqziNqJk9mvQk5MYxg4DxT4HX97q-btg=s88-c-k-c0x00ffffff-no-rj")</f>
        <v>https://yt3.ggpht.com/ytc/AIf8zZRSnGIIzLZqziNqJk9mvQk5MYxg4DxT4HX97q-btg=s88-c-k-c0x00ffffff-no-rj</v>
      </c>
      <c r="AL331" s="81">
        <v>228</v>
      </c>
      <c r="AM331" s="81">
        <v>0</v>
      </c>
      <c r="AN331" s="81">
        <v>51</v>
      </c>
      <c r="AO331" s="81" t="b">
        <v>0</v>
      </c>
      <c r="AP331" s="81">
        <v>1</v>
      </c>
      <c r="AQ331" s="81"/>
      <c r="AR331" s="81"/>
      <c r="AS331" s="81" t="s">
        <v>3378</v>
      </c>
      <c r="AT331" s="86" t="str">
        <f>HYPERLINK("https://www.youtube.com/channel/UCt6TpF0bu4txm6djvHuFAVg")</f>
        <v>https://www.youtube.com/channel/UCt6TpF0bu4txm6djvHuFAVg</v>
      </c>
      <c r="AU331" s="81" t="str">
        <f>REPLACE(INDEX(GroupVertices[Group],MATCH("~"&amp;Vertices[[#This Row],[Vertex]],GroupVertices[Vertex],0)),1,1,"")</f>
        <v>1</v>
      </c>
      <c r="AV331" s="49"/>
      <c r="AW331" s="49"/>
      <c r="AX331" s="49"/>
      <c r="AY331" s="49"/>
      <c r="AZ331" s="49"/>
      <c r="BA331" s="49"/>
      <c r="BB331" s="117" t="s">
        <v>3989</v>
      </c>
      <c r="BC331" s="117" t="s">
        <v>3989</v>
      </c>
      <c r="BD331" s="117" t="s">
        <v>4681</v>
      </c>
      <c r="BE331" s="117" t="s">
        <v>4681</v>
      </c>
      <c r="BF331" s="2"/>
      <c r="BG331" s="3"/>
      <c r="BH331" s="3"/>
      <c r="BI331" s="3"/>
      <c r="BJ331" s="3"/>
    </row>
    <row r="332" spans="1:62" ht="15">
      <c r="A332" s="66" t="s">
        <v>518</v>
      </c>
      <c r="B332" s="67"/>
      <c r="C332" s="67"/>
      <c r="D332" s="68">
        <v>50</v>
      </c>
      <c r="E332" s="70"/>
      <c r="F332" s="105" t="str">
        <f>HYPERLINK("https://yt3.ggpht.com/ytc/AIf8zZTi1zoi6OhRI0i36lI03rr7jIuc6p8VhsjNUw=s88-c-k-c0x00ffffff-no-rj")</f>
        <v>https://yt3.ggpht.com/ytc/AIf8zZTi1zoi6OhRI0i36lI03rr7jIuc6p8VhsjNUw=s88-c-k-c0x00ffffff-no-rj</v>
      </c>
      <c r="G332" s="67"/>
      <c r="H332" s="71" t="s">
        <v>2749</v>
      </c>
      <c r="I332" s="72"/>
      <c r="J332" s="72" t="s">
        <v>159</v>
      </c>
      <c r="K332" s="71" t="s">
        <v>2749</v>
      </c>
      <c r="L332" s="75">
        <v>1</v>
      </c>
      <c r="M332" s="76">
        <v>959.6163330078125</v>
      </c>
      <c r="N332" s="76">
        <v>4167.61572265625</v>
      </c>
      <c r="O332" s="77"/>
      <c r="P332" s="78"/>
      <c r="Q332" s="78"/>
      <c r="R332" s="90"/>
      <c r="S332" s="49">
        <v>0</v>
      </c>
      <c r="T332" s="49">
        <v>1</v>
      </c>
      <c r="U332" s="50">
        <v>0</v>
      </c>
      <c r="V332" s="50">
        <v>0.231785</v>
      </c>
      <c r="W332" s="51"/>
      <c r="X332" s="51"/>
      <c r="Y332" s="51"/>
      <c r="Z332" s="50"/>
      <c r="AA332" s="73">
        <v>332</v>
      </c>
      <c r="AB332" s="73"/>
      <c r="AC332" s="74"/>
      <c r="AD332" s="81" t="s">
        <v>2749</v>
      </c>
      <c r="AE332" s="81"/>
      <c r="AF332" s="81"/>
      <c r="AG332" s="81"/>
      <c r="AH332" s="81"/>
      <c r="AI332" s="81" t="s">
        <v>1984</v>
      </c>
      <c r="AJ332" s="88">
        <v>40925.05302083334</v>
      </c>
      <c r="AK332" s="86" t="str">
        <f>HYPERLINK("https://yt3.ggpht.com/ytc/AIf8zZTi1zoi6OhRI0i36lI03rr7jIuc6p8VhsjNUw=s88-c-k-c0x00ffffff-no-rj")</f>
        <v>https://yt3.ggpht.com/ytc/AIf8zZTi1zoi6OhRI0i36lI03rr7jIuc6p8VhsjNUw=s88-c-k-c0x00ffffff-no-rj</v>
      </c>
      <c r="AL332" s="81">
        <v>0</v>
      </c>
      <c r="AM332" s="81">
        <v>0</v>
      </c>
      <c r="AN332" s="81">
        <v>0</v>
      </c>
      <c r="AO332" s="81" t="b">
        <v>0</v>
      </c>
      <c r="AP332" s="81">
        <v>0</v>
      </c>
      <c r="AQ332" s="81"/>
      <c r="AR332" s="81"/>
      <c r="AS332" s="81" t="s">
        <v>3378</v>
      </c>
      <c r="AT332" s="86" t="str">
        <f>HYPERLINK("https://www.youtube.com/channel/UCm0T3GjXVmReGUjI2jxJCYQ")</f>
        <v>https://www.youtube.com/channel/UCm0T3GjXVmReGUjI2jxJCYQ</v>
      </c>
      <c r="AU332" s="81" t="str">
        <f>REPLACE(INDEX(GroupVertices[Group],MATCH("~"&amp;Vertices[[#This Row],[Vertex]],GroupVertices[Vertex],0)),1,1,"")</f>
        <v>1</v>
      </c>
      <c r="AV332" s="49"/>
      <c r="AW332" s="49"/>
      <c r="AX332" s="49"/>
      <c r="AY332" s="49"/>
      <c r="AZ332" s="49"/>
      <c r="BA332" s="49"/>
      <c r="BB332" s="117" t="s">
        <v>3990</v>
      </c>
      <c r="BC332" s="117" t="s">
        <v>3990</v>
      </c>
      <c r="BD332" s="117" t="s">
        <v>2423</v>
      </c>
      <c r="BE332" s="117" t="s">
        <v>2423</v>
      </c>
      <c r="BF332" s="2"/>
      <c r="BG332" s="3"/>
      <c r="BH332" s="3"/>
      <c r="BI332" s="3"/>
      <c r="BJ332" s="3"/>
    </row>
    <row r="333" spans="1:62" ht="15">
      <c r="A333" s="66" t="s">
        <v>519</v>
      </c>
      <c r="B333" s="67"/>
      <c r="C333" s="67"/>
      <c r="D333" s="68">
        <v>50</v>
      </c>
      <c r="E333" s="70"/>
      <c r="F333" s="105" t="str">
        <f>HYPERLINK("https://yt3.ggpht.com/ytc/AIf8zZQ8UWCKteB2W3lVDA-Ys4axqw_XaiW9SxTIVIYx=s88-c-k-c0x00ffffff-no-rj")</f>
        <v>https://yt3.ggpht.com/ytc/AIf8zZQ8UWCKteB2W3lVDA-Ys4axqw_XaiW9SxTIVIYx=s88-c-k-c0x00ffffff-no-rj</v>
      </c>
      <c r="G333" s="67"/>
      <c r="H333" s="71" t="s">
        <v>2750</v>
      </c>
      <c r="I333" s="72"/>
      <c r="J333" s="72" t="s">
        <v>159</v>
      </c>
      <c r="K333" s="71" t="s">
        <v>2750</v>
      </c>
      <c r="L333" s="75">
        <v>1</v>
      </c>
      <c r="M333" s="76">
        <v>1177.289794921875</v>
      </c>
      <c r="N333" s="76">
        <v>9318.416015625</v>
      </c>
      <c r="O333" s="77"/>
      <c r="P333" s="78"/>
      <c r="Q333" s="78"/>
      <c r="R333" s="90"/>
      <c r="S333" s="49">
        <v>0</v>
      </c>
      <c r="T333" s="49">
        <v>1</v>
      </c>
      <c r="U333" s="50">
        <v>0</v>
      </c>
      <c r="V333" s="50">
        <v>0.231785</v>
      </c>
      <c r="W333" s="51"/>
      <c r="X333" s="51"/>
      <c r="Y333" s="51"/>
      <c r="Z333" s="50"/>
      <c r="AA333" s="73">
        <v>333</v>
      </c>
      <c r="AB333" s="73"/>
      <c r="AC333" s="74"/>
      <c r="AD333" s="81" t="s">
        <v>2750</v>
      </c>
      <c r="AE333" s="81"/>
      <c r="AF333" s="81"/>
      <c r="AG333" s="81"/>
      <c r="AH333" s="81"/>
      <c r="AI333" s="81" t="s">
        <v>1985</v>
      </c>
      <c r="AJ333" s="88">
        <v>41432.53811342592</v>
      </c>
      <c r="AK333" s="86" t="str">
        <f>HYPERLINK("https://yt3.ggpht.com/ytc/AIf8zZQ8UWCKteB2W3lVDA-Ys4axqw_XaiW9SxTIVIYx=s88-c-k-c0x00ffffff-no-rj")</f>
        <v>https://yt3.ggpht.com/ytc/AIf8zZQ8UWCKteB2W3lVDA-Ys4axqw_XaiW9SxTIVIYx=s88-c-k-c0x00ffffff-no-rj</v>
      </c>
      <c r="AL333" s="81">
        <v>300</v>
      </c>
      <c r="AM333" s="81">
        <v>0</v>
      </c>
      <c r="AN333" s="81">
        <v>2</v>
      </c>
      <c r="AO333" s="81" t="b">
        <v>0</v>
      </c>
      <c r="AP333" s="81">
        <v>2</v>
      </c>
      <c r="AQ333" s="81"/>
      <c r="AR333" s="81"/>
      <c r="AS333" s="81" t="s">
        <v>3378</v>
      </c>
      <c r="AT333" s="86" t="str">
        <f>HYPERLINK("https://www.youtube.com/channel/UCAWdbmGR8KlYQ1zezsbyCjA")</f>
        <v>https://www.youtube.com/channel/UCAWdbmGR8KlYQ1zezsbyCjA</v>
      </c>
      <c r="AU333" s="81" t="str">
        <f>REPLACE(INDEX(GroupVertices[Group],MATCH("~"&amp;Vertices[[#This Row],[Vertex]],GroupVertices[Vertex],0)),1,1,"")</f>
        <v>1</v>
      </c>
      <c r="AV333" s="49"/>
      <c r="AW333" s="49"/>
      <c r="AX333" s="49"/>
      <c r="AY333" s="49"/>
      <c r="AZ333" s="49"/>
      <c r="BA333" s="49"/>
      <c r="BB333" s="117" t="s">
        <v>3991</v>
      </c>
      <c r="BC333" s="117" t="s">
        <v>3991</v>
      </c>
      <c r="BD333" s="117" t="s">
        <v>4682</v>
      </c>
      <c r="BE333" s="117" t="s">
        <v>4682</v>
      </c>
      <c r="BF333" s="2"/>
      <c r="BG333" s="3"/>
      <c r="BH333" s="3"/>
      <c r="BI333" s="3"/>
      <c r="BJ333" s="3"/>
    </row>
    <row r="334" spans="1:62" ht="15">
      <c r="A334" s="66" t="s">
        <v>520</v>
      </c>
      <c r="B334" s="67"/>
      <c r="C334" s="67"/>
      <c r="D334" s="68">
        <v>50</v>
      </c>
      <c r="E334" s="70"/>
      <c r="F334" s="105" t="str">
        <f>HYPERLINK("https://yt3.ggpht.com/ytc/AIf8zZRYMTyi22kZlQ_vWfaURq6o7XCggxS7JIRq=s88-c-k-c0x00ffffff-no-rj")</f>
        <v>https://yt3.ggpht.com/ytc/AIf8zZRYMTyi22kZlQ_vWfaURq6o7XCggxS7JIRq=s88-c-k-c0x00ffffff-no-rj</v>
      </c>
      <c r="G334" s="67"/>
      <c r="H334" s="71" t="s">
        <v>2751</v>
      </c>
      <c r="I334" s="72"/>
      <c r="J334" s="72" t="s">
        <v>159</v>
      </c>
      <c r="K334" s="71" t="s">
        <v>2751</v>
      </c>
      <c r="L334" s="75">
        <v>1</v>
      </c>
      <c r="M334" s="76">
        <v>1340.833984375</v>
      </c>
      <c r="N334" s="76">
        <v>4253.04443359375</v>
      </c>
      <c r="O334" s="77"/>
      <c r="P334" s="78"/>
      <c r="Q334" s="78"/>
      <c r="R334" s="90"/>
      <c r="S334" s="49">
        <v>0</v>
      </c>
      <c r="T334" s="49">
        <v>1</v>
      </c>
      <c r="U334" s="50">
        <v>0</v>
      </c>
      <c r="V334" s="50">
        <v>0.231785</v>
      </c>
      <c r="W334" s="51"/>
      <c r="X334" s="51"/>
      <c r="Y334" s="51"/>
      <c r="Z334" s="50"/>
      <c r="AA334" s="73">
        <v>334</v>
      </c>
      <c r="AB334" s="73"/>
      <c r="AC334" s="74"/>
      <c r="AD334" s="81" t="s">
        <v>2751</v>
      </c>
      <c r="AE334" s="81"/>
      <c r="AF334" s="81"/>
      <c r="AG334" s="81"/>
      <c r="AH334" s="81"/>
      <c r="AI334" s="81" t="s">
        <v>1986</v>
      </c>
      <c r="AJ334" s="88">
        <v>41187.47509259259</v>
      </c>
      <c r="AK334" s="86" t="str">
        <f>HYPERLINK("https://yt3.ggpht.com/ytc/AIf8zZRYMTyi22kZlQ_vWfaURq6o7XCggxS7JIRq=s88-c-k-c0x00ffffff-no-rj")</f>
        <v>https://yt3.ggpht.com/ytc/AIf8zZRYMTyi22kZlQ_vWfaURq6o7XCggxS7JIRq=s88-c-k-c0x00ffffff-no-rj</v>
      </c>
      <c r="AL334" s="81">
        <v>0</v>
      </c>
      <c r="AM334" s="81">
        <v>0</v>
      </c>
      <c r="AN334" s="81">
        <v>1</v>
      </c>
      <c r="AO334" s="81" t="b">
        <v>0</v>
      </c>
      <c r="AP334" s="81">
        <v>0</v>
      </c>
      <c r="AQ334" s="81"/>
      <c r="AR334" s="81"/>
      <c r="AS334" s="81" t="s">
        <v>3378</v>
      </c>
      <c r="AT334" s="86" t="str">
        <f>HYPERLINK("https://www.youtube.com/channel/UC7hZa7UORgQvUPtYlCS-bfQ")</f>
        <v>https://www.youtube.com/channel/UC7hZa7UORgQvUPtYlCS-bfQ</v>
      </c>
      <c r="AU334" s="81" t="str">
        <f>REPLACE(INDEX(GroupVertices[Group],MATCH("~"&amp;Vertices[[#This Row],[Vertex]],GroupVertices[Vertex],0)),1,1,"")</f>
        <v>1</v>
      </c>
      <c r="AV334" s="49"/>
      <c r="AW334" s="49"/>
      <c r="AX334" s="49"/>
      <c r="AY334" s="49"/>
      <c r="AZ334" s="49"/>
      <c r="BA334" s="49"/>
      <c r="BB334" s="117" t="s">
        <v>3992</v>
      </c>
      <c r="BC334" s="117" t="s">
        <v>4365</v>
      </c>
      <c r="BD334" s="117" t="s">
        <v>4683</v>
      </c>
      <c r="BE334" s="117" t="s">
        <v>4683</v>
      </c>
      <c r="BF334" s="2"/>
      <c r="BG334" s="3"/>
      <c r="BH334" s="3"/>
      <c r="BI334" s="3"/>
      <c r="BJ334" s="3"/>
    </row>
    <row r="335" spans="1:62" ht="15">
      <c r="A335" s="66" t="s">
        <v>521</v>
      </c>
      <c r="B335" s="67"/>
      <c r="C335" s="67"/>
      <c r="D335" s="68">
        <v>50</v>
      </c>
      <c r="E335" s="70"/>
      <c r="F335" s="105" t="str">
        <f>HYPERLINK("https://yt3.ggpht.com/vfZYaavstpgx2qPcIdqysyQsZvK2M-l3K1yqqGDnnWcxpbaKTnLM58B96HLgfLNNL4mDgO1wbA=s88-c-k-c0x00ffffff-no-rj")</f>
        <v>https://yt3.ggpht.com/vfZYaavstpgx2qPcIdqysyQsZvK2M-l3K1yqqGDnnWcxpbaKTnLM58B96HLgfLNNL4mDgO1wbA=s88-c-k-c0x00ffffff-no-rj</v>
      </c>
      <c r="G335" s="67"/>
      <c r="H335" s="71" t="s">
        <v>2752</v>
      </c>
      <c r="I335" s="72"/>
      <c r="J335" s="72" t="s">
        <v>159</v>
      </c>
      <c r="K335" s="71" t="s">
        <v>2752</v>
      </c>
      <c r="L335" s="75">
        <v>1</v>
      </c>
      <c r="M335" s="76">
        <v>1821.771484375</v>
      </c>
      <c r="N335" s="76">
        <v>8914.748046875</v>
      </c>
      <c r="O335" s="77"/>
      <c r="P335" s="78"/>
      <c r="Q335" s="78"/>
      <c r="R335" s="90"/>
      <c r="S335" s="49">
        <v>0</v>
      </c>
      <c r="T335" s="49">
        <v>1</v>
      </c>
      <c r="U335" s="50">
        <v>0</v>
      </c>
      <c r="V335" s="50">
        <v>0.231785</v>
      </c>
      <c r="W335" s="51"/>
      <c r="X335" s="51"/>
      <c r="Y335" s="51"/>
      <c r="Z335" s="50"/>
      <c r="AA335" s="73">
        <v>335</v>
      </c>
      <c r="AB335" s="73"/>
      <c r="AC335" s="74"/>
      <c r="AD335" s="81" t="s">
        <v>2752</v>
      </c>
      <c r="AE335" s="81"/>
      <c r="AF335" s="81"/>
      <c r="AG335" s="81"/>
      <c r="AH335" s="81"/>
      <c r="AI335" s="81" t="s">
        <v>1987</v>
      </c>
      <c r="AJ335" s="88">
        <v>40741.846712962964</v>
      </c>
      <c r="AK335" s="86" t="str">
        <f>HYPERLINK("https://yt3.ggpht.com/vfZYaavstpgx2qPcIdqysyQsZvK2M-l3K1yqqGDnnWcxpbaKTnLM58B96HLgfLNNL4mDgO1wbA=s88-c-k-c0x00ffffff-no-rj")</f>
        <v>https://yt3.ggpht.com/vfZYaavstpgx2qPcIdqysyQsZvK2M-l3K1yqqGDnnWcxpbaKTnLM58B96HLgfLNNL4mDgO1wbA=s88-c-k-c0x00ffffff-no-rj</v>
      </c>
      <c r="AL335" s="81">
        <v>0</v>
      </c>
      <c r="AM335" s="81">
        <v>0</v>
      </c>
      <c r="AN335" s="81">
        <v>1</v>
      </c>
      <c r="AO335" s="81" t="b">
        <v>0</v>
      </c>
      <c r="AP335" s="81">
        <v>0</v>
      </c>
      <c r="AQ335" s="81"/>
      <c r="AR335" s="81"/>
      <c r="AS335" s="81" t="s">
        <v>3378</v>
      </c>
      <c r="AT335" s="86" t="str">
        <f>HYPERLINK("https://www.youtube.com/channel/UCpdSu7jt6FyUY-GcZ5_3QFA")</f>
        <v>https://www.youtube.com/channel/UCpdSu7jt6FyUY-GcZ5_3QFA</v>
      </c>
      <c r="AU335" s="81" t="str">
        <f>REPLACE(INDEX(GroupVertices[Group],MATCH("~"&amp;Vertices[[#This Row],[Vertex]],GroupVertices[Vertex],0)),1,1,"")</f>
        <v>1</v>
      </c>
      <c r="AV335" s="49"/>
      <c r="AW335" s="49"/>
      <c r="AX335" s="49"/>
      <c r="AY335" s="49"/>
      <c r="AZ335" s="49"/>
      <c r="BA335" s="49"/>
      <c r="BB335" s="117" t="s">
        <v>3993</v>
      </c>
      <c r="BC335" s="117" t="s">
        <v>3993</v>
      </c>
      <c r="BD335" s="117" t="s">
        <v>4684</v>
      </c>
      <c r="BE335" s="117" t="s">
        <v>4684</v>
      </c>
      <c r="BF335" s="2"/>
      <c r="BG335" s="3"/>
      <c r="BH335" s="3"/>
      <c r="BI335" s="3"/>
      <c r="BJ335" s="3"/>
    </row>
    <row r="336" spans="1:62" ht="15">
      <c r="A336" s="66" t="s">
        <v>522</v>
      </c>
      <c r="B336" s="67"/>
      <c r="C336" s="67"/>
      <c r="D336" s="68">
        <v>50</v>
      </c>
      <c r="E336" s="70"/>
      <c r="F336" s="105" t="str">
        <f>HYPERLINK("https://yt3.ggpht.com/ytc/AIf8zZTwNKW-1lK5h4Bb6108NhxrL6GRoYNYdga0yXLV=s88-c-k-c0x00ffffff-no-rj")</f>
        <v>https://yt3.ggpht.com/ytc/AIf8zZTwNKW-1lK5h4Bb6108NhxrL6GRoYNYdga0yXLV=s88-c-k-c0x00ffffff-no-rj</v>
      </c>
      <c r="G336" s="67"/>
      <c r="H336" s="71" t="s">
        <v>2753</v>
      </c>
      <c r="I336" s="72"/>
      <c r="J336" s="72" t="s">
        <v>159</v>
      </c>
      <c r="K336" s="71" t="s">
        <v>2753</v>
      </c>
      <c r="L336" s="75">
        <v>1</v>
      </c>
      <c r="M336" s="76">
        <v>493.00250244140625</v>
      </c>
      <c r="N336" s="76">
        <v>5566.05322265625</v>
      </c>
      <c r="O336" s="77"/>
      <c r="P336" s="78"/>
      <c r="Q336" s="78"/>
      <c r="R336" s="90"/>
      <c r="S336" s="49">
        <v>0</v>
      </c>
      <c r="T336" s="49">
        <v>1</v>
      </c>
      <c r="U336" s="50">
        <v>0</v>
      </c>
      <c r="V336" s="50">
        <v>0.231785</v>
      </c>
      <c r="W336" s="51"/>
      <c r="X336" s="51"/>
      <c r="Y336" s="51"/>
      <c r="Z336" s="50"/>
      <c r="AA336" s="73">
        <v>336</v>
      </c>
      <c r="AB336" s="73"/>
      <c r="AC336" s="74"/>
      <c r="AD336" s="81" t="s">
        <v>2753</v>
      </c>
      <c r="AE336" s="81"/>
      <c r="AF336" s="81"/>
      <c r="AG336" s="81"/>
      <c r="AH336" s="81"/>
      <c r="AI336" s="81" t="s">
        <v>3297</v>
      </c>
      <c r="AJ336" s="88">
        <v>41020.016701388886</v>
      </c>
      <c r="AK336" s="86" t="str">
        <f>HYPERLINK("https://yt3.ggpht.com/ytc/AIf8zZTwNKW-1lK5h4Bb6108NhxrL6GRoYNYdga0yXLV=s88-c-k-c0x00ffffff-no-rj")</f>
        <v>https://yt3.ggpht.com/ytc/AIf8zZTwNKW-1lK5h4Bb6108NhxrL6GRoYNYdga0yXLV=s88-c-k-c0x00ffffff-no-rj</v>
      </c>
      <c r="AL336" s="81">
        <v>0</v>
      </c>
      <c r="AM336" s="81">
        <v>0</v>
      </c>
      <c r="AN336" s="81">
        <v>29</v>
      </c>
      <c r="AO336" s="81" t="b">
        <v>0</v>
      </c>
      <c r="AP336" s="81">
        <v>0</v>
      </c>
      <c r="AQ336" s="81"/>
      <c r="AR336" s="81"/>
      <c r="AS336" s="81" t="s">
        <v>3378</v>
      </c>
      <c r="AT336" s="86" t="str">
        <f>HYPERLINK("https://www.youtube.com/channel/UCtXe3QlHDi7F-ojBR9BxjQg")</f>
        <v>https://www.youtube.com/channel/UCtXe3QlHDi7F-ojBR9BxjQg</v>
      </c>
      <c r="AU336" s="81" t="str">
        <f>REPLACE(INDEX(GroupVertices[Group],MATCH("~"&amp;Vertices[[#This Row],[Vertex]],GroupVertices[Vertex],0)),1,1,"")</f>
        <v>1</v>
      </c>
      <c r="AV336" s="49"/>
      <c r="AW336" s="49"/>
      <c r="AX336" s="49"/>
      <c r="AY336" s="49"/>
      <c r="AZ336" s="49"/>
      <c r="BA336" s="49"/>
      <c r="BB336" s="117" t="s">
        <v>3994</v>
      </c>
      <c r="BC336" s="117" t="s">
        <v>3994</v>
      </c>
      <c r="BD336" s="117" t="s">
        <v>4685</v>
      </c>
      <c r="BE336" s="117" t="s">
        <v>4685</v>
      </c>
      <c r="BF336" s="2"/>
      <c r="BG336" s="3"/>
      <c r="BH336" s="3"/>
      <c r="BI336" s="3"/>
      <c r="BJ336" s="3"/>
    </row>
    <row r="337" spans="1:62" ht="15">
      <c r="A337" s="66" t="s">
        <v>523</v>
      </c>
      <c r="B337" s="67"/>
      <c r="C337" s="67"/>
      <c r="D337" s="68">
        <v>50</v>
      </c>
      <c r="E337" s="70"/>
      <c r="F337" s="105" t="str">
        <f>HYPERLINK("https://yt3.ggpht.com/ytc/AIf8zZRkvLUl2nFTKu0bapQJX6ZHxJqKSBDezT_PY7QWXg=s88-c-k-c0x00ffffff-no-rj")</f>
        <v>https://yt3.ggpht.com/ytc/AIf8zZRkvLUl2nFTKu0bapQJX6ZHxJqKSBDezT_PY7QWXg=s88-c-k-c0x00ffffff-no-rj</v>
      </c>
      <c r="G337" s="67"/>
      <c r="H337" s="71" t="s">
        <v>2754</v>
      </c>
      <c r="I337" s="72"/>
      <c r="J337" s="72" t="s">
        <v>159</v>
      </c>
      <c r="K337" s="71" t="s">
        <v>2754</v>
      </c>
      <c r="L337" s="75">
        <v>1</v>
      </c>
      <c r="M337" s="76">
        <v>2620.07763671875</v>
      </c>
      <c r="N337" s="76">
        <v>9627.15234375</v>
      </c>
      <c r="O337" s="77"/>
      <c r="P337" s="78"/>
      <c r="Q337" s="78"/>
      <c r="R337" s="90"/>
      <c r="S337" s="49">
        <v>0</v>
      </c>
      <c r="T337" s="49">
        <v>1</v>
      </c>
      <c r="U337" s="50">
        <v>0</v>
      </c>
      <c r="V337" s="50">
        <v>0.231785</v>
      </c>
      <c r="W337" s="51"/>
      <c r="X337" s="51"/>
      <c r="Y337" s="51"/>
      <c r="Z337" s="50"/>
      <c r="AA337" s="73">
        <v>337</v>
      </c>
      <c r="AB337" s="73"/>
      <c r="AC337" s="74"/>
      <c r="AD337" s="81" t="s">
        <v>2754</v>
      </c>
      <c r="AE337" s="81"/>
      <c r="AF337" s="81"/>
      <c r="AG337" s="81"/>
      <c r="AH337" s="81"/>
      <c r="AI337" s="81" t="s">
        <v>1989</v>
      </c>
      <c r="AJ337" s="88">
        <v>41242.426157407404</v>
      </c>
      <c r="AK337" s="86" t="str">
        <f>HYPERLINK("https://yt3.ggpht.com/ytc/AIf8zZRkvLUl2nFTKu0bapQJX6ZHxJqKSBDezT_PY7QWXg=s88-c-k-c0x00ffffff-no-rj")</f>
        <v>https://yt3.ggpht.com/ytc/AIf8zZRkvLUl2nFTKu0bapQJX6ZHxJqKSBDezT_PY7QWXg=s88-c-k-c0x00ffffff-no-rj</v>
      </c>
      <c r="AL337" s="81">
        <v>0</v>
      </c>
      <c r="AM337" s="81">
        <v>0</v>
      </c>
      <c r="AN337" s="81">
        <v>0</v>
      </c>
      <c r="AO337" s="81" t="b">
        <v>0</v>
      </c>
      <c r="AP337" s="81">
        <v>0</v>
      </c>
      <c r="AQ337" s="81"/>
      <c r="AR337" s="81"/>
      <c r="AS337" s="81" t="s">
        <v>3378</v>
      </c>
      <c r="AT337" s="86" t="str">
        <f>HYPERLINK("https://www.youtube.com/channel/UCPapQQYB5eJL-CPy7KecNgA")</f>
        <v>https://www.youtube.com/channel/UCPapQQYB5eJL-CPy7KecNgA</v>
      </c>
      <c r="AU337" s="81" t="str">
        <f>REPLACE(INDEX(GroupVertices[Group],MATCH("~"&amp;Vertices[[#This Row],[Vertex]],GroupVertices[Vertex],0)),1,1,"")</f>
        <v>1</v>
      </c>
      <c r="AV337" s="49"/>
      <c r="AW337" s="49"/>
      <c r="AX337" s="49"/>
      <c r="AY337" s="49"/>
      <c r="AZ337" s="49"/>
      <c r="BA337" s="49"/>
      <c r="BB337" s="117" t="s">
        <v>3995</v>
      </c>
      <c r="BC337" s="117" t="s">
        <v>3995</v>
      </c>
      <c r="BD337" s="117" t="s">
        <v>4686</v>
      </c>
      <c r="BE337" s="117" t="s">
        <v>4686</v>
      </c>
      <c r="BF337" s="2"/>
      <c r="BG337" s="3"/>
      <c r="BH337" s="3"/>
      <c r="BI337" s="3"/>
      <c r="BJ337" s="3"/>
    </row>
    <row r="338" spans="1:62" ht="15">
      <c r="A338" s="66" t="s">
        <v>524</v>
      </c>
      <c r="B338" s="67"/>
      <c r="C338" s="67"/>
      <c r="D338" s="68">
        <v>50</v>
      </c>
      <c r="E338" s="70"/>
      <c r="F338" s="105" t="str">
        <f>HYPERLINK("https://yt3.ggpht.com/ytc/AIf8zZSc98GvP73bDgjN8gi5aHl1Tb26yH2vTg8cnkWNaw=s88-c-k-c0x00ffffff-no-rj")</f>
        <v>https://yt3.ggpht.com/ytc/AIf8zZSc98GvP73bDgjN8gi5aHl1Tb26yH2vTg8cnkWNaw=s88-c-k-c0x00ffffff-no-rj</v>
      </c>
      <c r="G338" s="67"/>
      <c r="H338" s="71" t="s">
        <v>2755</v>
      </c>
      <c r="I338" s="72"/>
      <c r="J338" s="72" t="s">
        <v>159</v>
      </c>
      <c r="K338" s="71" t="s">
        <v>2755</v>
      </c>
      <c r="L338" s="75">
        <v>1</v>
      </c>
      <c r="M338" s="76">
        <v>5934.498046875</v>
      </c>
      <c r="N338" s="76">
        <v>6328.84033203125</v>
      </c>
      <c r="O338" s="77"/>
      <c r="P338" s="78"/>
      <c r="Q338" s="78"/>
      <c r="R338" s="90"/>
      <c r="S338" s="49">
        <v>0</v>
      </c>
      <c r="T338" s="49">
        <v>1</v>
      </c>
      <c r="U338" s="50">
        <v>0</v>
      </c>
      <c r="V338" s="50">
        <v>0.209338</v>
      </c>
      <c r="W338" s="51"/>
      <c r="X338" s="51"/>
      <c r="Y338" s="51"/>
      <c r="Z338" s="50"/>
      <c r="AA338" s="73">
        <v>338</v>
      </c>
      <c r="AB338" s="73"/>
      <c r="AC338" s="74"/>
      <c r="AD338" s="81" t="s">
        <v>2755</v>
      </c>
      <c r="AE338" s="81"/>
      <c r="AF338" s="81"/>
      <c r="AG338" s="81"/>
      <c r="AH338" s="81"/>
      <c r="AI338" s="81" t="s">
        <v>3298</v>
      </c>
      <c r="AJ338" s="88">
        <v>38941.134930555556</v>
      </c>
      <c r="AK338" s="86" t="str">
        <f>HYPERLINK("https://yt3.ggpht.com/ytc/AIf8zZSc98GvP73bDgjN8gi5aHl1Tb26yH2vTg8cnkWNaw=s88-c-k-c0x00ffffff-no-rj")</f>
        <v>https://yt3.ggpht.com/ytc/AIf8zZSc98GvP73bDgjN8gi5aHl1Tb26yH2vTg8cnkWNaw=s88-c-k-c0x00ffffff-no-rj</v>
      </c>
      <c r="AL338" s="81">
        <v>0</v>
      </c>
      <c r="AM338" s="81">
        <v>0</v>
      </c>
      <c r="AN338" s="81">
        <v>6</v>
      </c>
      <c r="AO338" s="81" t="b">
        <v>0</v>
      </c>
      <c r="AP338" s="81">
        <v>0</v>
      </c>
      <c r="AQ338" s="81"/>
      <c r="AR338" s="81"/>
      <c r="AS338" s="81" t="s">
        <v>3378</v>
      </c>
      <c r="AT338" s="86" t="str">
        <f>HYPERLINK("https://www.youtube.com/channel/UCPPmvror0xzpZkDBymJddlg")</f>
        <v>https://www.youtube.com/channel/UCPPmvror0xzpZkDBymJddlg</v>
      </c>
      <c r="AU338" s="81" t="str">
        <f>REPLACE(INDEX(GroupVertices[Group],MATCH("~"&amp;Vertices[[#This Row],[Vertex]],GroupVertices[Vertex],0)),1,1,"")</f>
        <v>3</v>
      </c>
      <c r="AV338" s="49"/>
      <c r="AW338" s="49"/>
      <c r="AX338" s="49"/>
      <c r="AY338" s="49"/>
      <c r="AZ338" s="49"/>
      <c r="BA338" s="49"/>
      <c r="BB338" s="117" t="s">
        <v>3996</v>
      </c>
      <c r="BC338" s="117" t="s">
        <v>3996</v>
      </c>
      <c r="BD338" s="117" t="s">
        <v>4687</v>
      </c>
      <c r="BE338" s="117" t="s">
        <v>4687</v>
      </c>
      <c r="BF338" s="2"/>
      <c r="BG338" s="3"/>
      <c r="BH338" s="3"/>
      <c r="BI338" s="3"/>
      <c r="BJ338" s="3"/>
    </row>
    <row r="339" spans="1:62" ht="15">
      <c r="A339" s="66" t="s">
        <v>525</v>
      </c>
      <c r="B339" s="67"/>
      <c r="C339" s="67"/>
      <c r="D339" s="68">
        <v>50</v>
      </c>
      <c r="E339" s="70"/>
      <c r="F339" s="105" t="str">
        <f>HYPERLINK("https://yt3.ggpht.com/ytc/AIf8zZQBiWThbtCMXWJPw0_DnkyeuGGJ3tBkQCIS6Q=s88-c-k-c0x00ffffff-no-rj")</f>
        <v>https://yt3.ggpht.com/ytc/AIf8zZQBiWThbtCMXWJPw0_DnkyeuGGJ3tBkQCIS6Q=s88-c-k-c0x00ffffff-no-rj</v>
      </c>
      <c r="G339" s="67"/>
      <c r="H339" s="71" t="s">
        <v>2757</v>
      </c>
      <c r="I339" s="72"/>
      <c r="J339" s="72" t="s">
        <v>159</v>
      </c>
      <c r="K339" s="71" t="s">
        <v>2757</v>
      </c>
      <c r="L339" s="75">
        <v>1</v>
      </c>
      <c r="M339" s="76">
        <v>5732.37060546875</v>
      </c>
      <c r="N339" s="76">
        <v>5832.3583984375</v>
      </c>
      <c r="O339" s="77"/>
      <c r="P339" s="78"/>
      <c r="Q339" s="78"/>
      <c r="R339" s="90"/>
      <c r="S339" s="49">
        <v>0</v>
      </c>
      <c r="T339" s="49">
        <v>1</v>
      </c>
      <c r="U339" s="50">
        <v>0</v>
      </c>
      <c r="V339" s="50">
        <v>0.209338</v>
      </c>
      <c r="W339" s="51"/>
      <c r="X339" s="51"/>
      <c r="Y339" s="51"/>
      <c r="Z339" s="50"/>
      <c r="AA339" s="73">
        <v>339</v>
      </c>
      <c r="AB339" s="73"/>
      <c r="AC339" s="74"/>
      <c r="AD339" s="81" t="s">
        <v>2757</v>
      </c>
      <c r="AE339" s="81"/>
      <c r="AF339" s="81"/>
      <c r="AG339" s="81"/>
      <c r="AH339" s="81"/>
      <c r="AI339" s="81" t="s">
        <v>1991</v>
      </c>
      <c r="AJ339" s="88">
        <v>41319.34363425926</v>
      </c>
      <c r="AK339" s="86" t="str">
        <f>HYPERLINK("https://yt3.ggpht.com/ytc/AIf8zZQBiWThbtCMXWJPw0_DnkyeuGGJ3tBkQCIS6Q=s88-c-k-c0x00ffffff-no-rj")</f>
        <v>https://yt3.ggpht.com/ytc/AIf8zZQBiWThbtCMXWJPw0_DnkyeuGGJ3tBkQCIS6Q=s88-c-k-c0x00ffffff-no-rj</v>
      </c>
      <c r="AL339" s="81">
        <v>0</v>
      </c>
      <c r="AM339" s="81">
        <v>0</v>
      </c>
      <c r="AN339" s="81">
        <v>4</v>
      </c>
      <c r="AO339" s="81" t="b">
        <v>0</v>
      </c>
      <c r="AP339" s="81">
        <v>0</v>
      </c>
      <c r="AQ339" s="81"/>
      <c r="AR339" s="81"/>
      <c r="AS339" s="81" t="s">
        <v>3378</v>
      </c>
      <c r="AT339" s="86" t="str">
        <f>HYPERLINK("https://www.youtube.com/channel/UCWTBgIN5NsIXRbdIdb7Y9Rg")</f>
        <v>https://www.youtube.com/channel/UCWTBgIN5NsIXRbdIdb7Y9Rg</v>
      </c>
      <c r="AU339" s="81" t="str">
        <f>REPLACE(INDEX(GroupVertices[Group],MATCH("~"&amp;Vertices[[#This Row],[Vertex]],GroupVertices[Vertex],0)),1,1,"")</f>
        <v>3</v>
      </c>
      <c r="AV339" s="49" t="s">
        <v>3471</v>
      </c>
      <c r="AW339" s="49" t="s">
        <v>3471</v>
      </c>
      <c r="AX339" s="49" t="s">
        <v>2414</v>
      </c>
      <c r="AY339" s="49" t="s">
        <v>2414</v>
      </c>
      <c r="AZ339" s="49"/>
      <c r="BA339" s="49"/>
      <c r="BB339" s="117" t="s">
        <v>3997</v>
      </c>
      <c r="BC339" s="117" t="s">
        <v>3997</v>
      </c>
      <c r="BD339" s="117" t="s">
        <v>4688</v>
      </c>
      <c r="BE339" s="117" t="s">
        <v>4688</v>
      </c>
      <c r="BF339" s="2"/>
      <c r="BG339" s="3"/>
      <c r="BH339" s="3"/>
      <c r="BI339" s="3"/>
      <c r="BJ339" s="3"/>
    </row>
    <row r="340" spans="1:62" ht="15">
      <c r="A340" s="66" t="s">
        <v>526</v>
      </c>
      <c r="B340" s="67"/>
      <c r="C340" s="67"/>
      <c r="D340" s="68">
        <v>50</v>
      </c>
      <c r="E340" s="70"/>
      <c r="F340" s="105" t="str">
        <f>HYPERLINK("https://yt3.ggpht.com/ytc/AIf8zZRSdchljI7p2Vk0yTOYWgQWRMT6XLMfDnWkOg=s88-c-k-c0x00ffffff-no-rj")</f>
        <v>https://yt3.ggpht.com/ytc/AIf8zZRSdchljI7p2Vk0yTOYWgQWRMT6XLMfDnWkOg=s88-c-k-c0x00ffffff-no-rj</v>
      </c>
      <c r="G340" s="67"/>
      <c r="H340" s="71" t="s">
        <v>2758</v>
      </c>
      <c r="I340" s="72"/>
      <c r="J340" s="72" t="s">
        <v>159</v>
      </c>
      <c r="K340" s="71" t="s">
        <v>2758</v>
      </c>
      <c r="L340" s="75">
        <v>1</v>
      </c>
      <c r="M340" s="76">
        <v>4736.68017578125</v>
      </c>
      <c r="N340" s="76">
        <v>6986.6767578125</v>
      </c>
      <c r="O340" s="77"/>
      <c r="P340" s="78"/>
      <c r="Q340" s="78"/>
      <c r="R340" s="90"/>
      <c r="S340" s="49">
        <v>0</v>
      </c>
      <c r="T340" s="49">
        <v>1</v>
      </c>
      <c r="U340" s="50">
        <v>0</v>
      </c>
      <c r="V340" s="50">
        <v>0.209338</v>
      </c>
      <c r="W340" s="51"/>
      <c r="X340" s="51"/>
      <c r="Y340" s="51"/>
      <c r="Z340" s="50"/>
      <c r="AA340" s="73">
        <v>340</v>
      </c>
      <c r="AB340" s="73"/>
      <c r="AC340" s="74"/>
      <c r="AD340" s="81" t="s">
        <v>2758</v>
      </c>
      <c r="AE340" s="81"/>
      <c r="AF340" s="81"/>
      <c r="AG340" s="81"/>
      <c r="AH340" s="81"/>
      <c r="AI340" s="81" t="s">
        <v>3300</v>
      </c>
      <c r="AJ340" s="88">
        <v>44132.66844907407</v>
      </c>
      <c r="AK340" s="86" t="str">
        <f>HYPERLINK("https://yt3.ggpht.com/ytc/AIf8zZRSdchljI7p2Vk0yTOYWgQWRMT6XLMfDnWkOg=s88-c-k-c0x00ffffff-no-rj")</f>
        <v>https://yt3.ggpht.com/ytc/AIf8zZRSdchljI7p2Vk0yTOYWgQWRMT6XLMfDnWkOg=s88-c-k-c0x00ffffff-no-rj</v>
      </c>
      <c r="AL340" s="81">
        <v>0</v>
      </c>
      <c r="AM340" s="81">
        <v>0</v>
      </c>
      <c r="AN340" s="81">
        <v>0</v>
      </c>
      <c r="AO340" s="81" t="b">
        <v>0</v>
      </c>
      <c r="AP340" s="81">
        <v>0</v>
      </c>
      <c r="AQ340" s="81"/>
      <c r="AR340" s="81"/>
      <c r="AS340" s="81" t="s">
        <v>3378</v>
      </c>
      <c r="AT340" s="86" t="str">
        <f>HYPERLINK("https://www.youtube.com/channel/UC4ng0FUz_hDpAHEQuGBw1GQ")</f>
        <v>https://www.youtube.com/channel/UC4ng0FUz_hDpAHEQuGBw1GQ</v>
      </c>
      <c r="AU340" s="81" t="str">
        <f>REPLACE(INDEX(GroupVertices[Group],MATCH("~"&amp;Vertices[[#This Row],[Vertex]],GroupVertices[Vertex],0)),1,1,"")</f>
        <v>3</v>
      </c>
      <c r="AV340" s="49"/>
      <c r="AW340" s="49"/>
      <c r="AX340" s="49"/>
      <c r="AY340" s="49"/>
      <c r="AZ340" s="49"/>
      <c r="BA340" s="49"/>
      <c r="BB340" s="117" t="s">
        <v>3998</v>
      </c>
      <c r="BC340" s="117" t="s">
        <v>3998</v>
      </c>
      <c r="BD340" s="117" t="s">
        <v>4689</v>
      </c>
      <c r="BE340" s="117" t="s">
        <v>4689</v>
      </c>
      <c r="BF340" s="2"/>
      <c r="BG340" s="3"/>
      <c r="BH340" s="3"/>
      <c r="BI340" s="3"/>
      <c r="BJ340" s="3"/>
    </row>
    <row r="341" spans="1:62" ht="15">
      <c r="A341" s="66" t="s">
        <v>527</v>
      </c>
      <c r="B341" s="67"/>
      <c r="C341" s="67"/>
      <c r="D341" s="68">
        <v>50</v>
      </c>
      <c r="E341" s="70"/>
      <c r="F341" s="105" t="str">
        <f>HYPERLINK("https://yt3.ggpht.com/ytc/AIf8zZSPndOyaZAAYboG9bc-oTX4yV52XTAH2UwuJM0pmg=s88-c-k-c0x00ffffff-no-rj")</f>
        <v>https://yt3.ggpht.com/ytc/AIf8zZSPndOyaZAAYboG9bc-oTX4yV52XTAH2UwuJM0pmg=s88-c-k-c0x00ffffff-no-rj</v>
      </c>
      <c r="G341" s="67"/>
      <c r="H341" s="71" t="s">
        <v>2759</v>
      </c>
      <c r="I341" s="72"/>
      <c r="J341" s="72" t="s">
        <v>159</v>
      </c>
      <c r="K341" s="71" t="s">
        <v>2759</v>
      </c>
      <c r="L341" s="75">
        <v>1</v>
      </c>
      <c r="M341" s="76">
        <v>6120.68017578125</v>
      </c>
      <c r="N341" s="76">
        <v>7063.353515625</v>
      </c>
      <c r="O341" s="77"/>
      <c r="P341" s="78"/>
      <c r="Q341" s="78"/>
      <c r="R341" s="90"/>
      <c r="S341" s="49">
        <v>0</v>
      </c>
      <c r="T341" s="49">
        <v>1</v>
      </c>
      <c r="U341" s="50">
        <v>0</v>
      </c>
      <c r="V341" s="50">
        <v>0.209338</v>
      </c>
      <c r="W341" s="51"/>
      <c r="X341" s="51"/>
      <c r="Y341" s="51"/>
      <c r="Z341" s="50"/>
      <c r="AA341" s="73">
        <v>341</v>
      </c>
      <c r="AB341" s="73"/>
      <c r="AC341" s="74"/>
      <c r="AD341" s="81" t="s">
        <v>2759</v>
      </c>
      <c r="AE341" s="81"/>
      <c r="AF341" s="81"/>
      <c r="AG341" s="81"/>
      <c r="AH341" s="81"/>
      <c r="AI341" s="81" t="s">
        <v>1993</v>
      </c>
      <c r="AJ341" s="88">
        <v>43112.10655092593</v>
      </c>
      <c r="AK341" s="86" t="str">
        <f>HYPERLINK("https://yt3.ggpht.com/ytc/AIf8zZSPndOyaZAAYboG9bc-oTX4yV52XTAH2UwuJM0pmg=s88-c-k-c0x00ffffff-no-rj")</f>
        <v>https://yt3.ggpht.com/ytc/AIf8zZSPndOyaZAAYboG9bc-oTX4yV52XTAH2UwuJM0pmg=s88-c-k-c0x00ffffff-no-rj</v>
      </c>
      <c r="AL341" s="81">
        <v>479</v>
      </c>
      <c r="AM341" s="81">
        <v>0</v>
      </c>
      <c r="AN341" s="81">
        <v>10</v>
      </c>
      <c r="AO341" s="81" t="b">
        <v>0</v>
      </c>
      <c r="AP341" s="81">
        <v>23</v>
      </c>
      <c r="AQ341" s="81"/>
      <c r="AR341" s="81"/>
      <c r="AS341" s="81" t="s">
        <v>3378</v>
      </c>
      <c r="AT341" s="86" t="str">
        <f>HYPERLINK("https://www.youtube.com/channel/UClSjxyfSXkP4KFeczZNVJKQ")</f>
        <v>https://www.youtube.com/channel/UClSjxyfSXkP4KFeczZNVJKQ</v>
      </c>
      <c r="AU341" s="81" t="str">
        <f>REPLACE(INDEX(GroupVertices[Group],MATCH("~"&amp;Vertices[[#This Row],[Vertex]],GroupVertices[Vertex],0)),1,1,"")</f>
        <v>3</v>
      </c>
      <c r="AV341" s="49"/>
      <c r="AW341" s="49"/>
      <c r="AX341" s="49"/>
      <c r="AY341" s="49"/>
      <c r="AZ341" s="49"/>
      <c r="BA341" s="49"/>
      <c r="BB341" s="117" t="s">
        <v>3999</v>
      </c>
      <c r="BC341" s="117" t="s">
        <v>3999</v>
      </c>
      <c r="BD341" s="117" t="s">
        <v>2423</v>
      </c>
      <c r="BE341" s="117" t="s">
        <v>2423</v>
      </c>
      <c r="BF341" s="2"/>
      <c r="BG341" s="3"/>
      <c r="BH341" s="3"/>
      <c r="BI341" s="3"/>
      <c r="BJ341" s="3"/>
    </row>
    <row r="342" spans="1:62" ht="15">
      <c r="A342" s="66" t="s">
        <v>528</v>
      </c>
      <c r="B342" s="67"/>
      <c r="C342" s="67"/>
      <c r="D342" s="68">
        <v>50</v>
      </c>
      <c r="E342" s="70"/>
      <c r="F342" s="105" t="str">
        <f>HYPERLINK("https://yt3.ggpht.com/ytc/AIf8zZS3PPQoDkVMFaNk71vwioOwvP7lUy0GTOeI-qDseA=s88-c-k-c0x00ffffff-no-rj")</f>
        <v>https://yt3.ggpht.com/ytc/AIf8zZS3PPQoDkVMFaNk71vwioOwvP7lUy0GTOeI-qDseA=s88-c-k-c0x00ffffff-no-rj</v>
      </c>
      <c r="G342" s="67"/>
      <c r="H342" s="71" t="s">
        <v>2760</v>
      </c>
      <c r="I342" s="72"/>
      <c r="J342" s="72" t="s">
        <v>159</v>
      </c>
      <c r="K342" s="71" t="s">
        <v>2760</v>
      </c>
      <c r="L342" s="75">
        <v>1</v>
      </c>
      <c r="M342" s="76">
        <v>4418.80712890625</v>
      </c>
      <c r="N342" s="76">
        <v>6646.52783203125</v>
      </c>
      <c r="O342" s="77"/>
      <c r="P342" s="78"/>
      <c r="Q342" s="78"/>
      <c r="R342" s="90"/>
      <c r="S342" s="49">
        <v>0</v>
      </c>
      <c r="T342" s="49">
        <v>1</v>
      </c>
      <c r="U342" s="50">
        <v>0</v>
      </c>
      <c r="V342" s="50">
        <v>0.209338</v>
      </c>
      <c r="W342" s="51"/>
      <c r="X342" s="51"/>
      <c r="Y342" s="51"/>
      <c r="Z342" s="50"/>
      <c r="AA342" s="73">
        <v>342</v>
      </c>
      <c r="AB342" s="73"/>
      <c r="AC342" s="74"/>
      <c r="AD342" s="81" t="s">
        <v>2760</v>
      </c>
      <c r="AE342" s="81"/>
      <c r="AF342" s="81"/>
      <c r="AG342" s="81"/>
      <c r="AH342" s="81"/>
      <c r="AI342" s="81" t="s">
        <v>1994</v>
      </c>
      <c r="AJ342" s="88">
        <v>41281.18513888889</v>
      </c>
      <c r="AK342" s="86" t="str">
        <f>HYPERLINK("https://yt3.ggpht.com/ytc/AIf8zZS3PPQoDkVMFaNk71vwioOwvP7lUy0GTOeI-qDseA=s88-c-k-c0x00ffffff-no-rj")</f>
        <v>https://yt3.ggpht.com/ytc/AIf8zZS3PPQoDkVMFaNk71vwioOwvP7lUy0GTOeI-qDseA=s88-c-k-c0x00ffffff-no-rj</v>
      </c>
      <c r="AL342" s="81">
        <v>0</v>
      </c>
      <c r="AM342" s="81">
        <v>0</v>
      </c>
      <c r="AN342" s="81">
        <v>1</v>
      </c>
      <c r="AO342" s="81" t="b">
        <v>0</v>
      </c>
      <c r="AP342" s="81">
        <v>0</v>
      </c>
      <c r="AQ342" s="81"/>
      <c r="AR342" s="81"/>
      <c r="AS342" s="81" t="s">
        <v>3378</v>
      </c>
      <c r="AT342" s="86" t="str">
        <f>HYPERLINK("https://www.youtube.com/channel/UCKsuYIqhe1B1GYpVrURibXQ")</f>
        <v>https://www.youtube.com/channel/UCKsuYIqhe1B1GYpVrURibXQ</v>
      </c>
      <c r="AU342" s="81" t="str">
        <f>REPLACE(INDEX(GroupVertices[Group],MATCH("~"&amp;Vertices[[#This Row],[Vertex]],GroupVertices[Vertex],0)),1,1,"")</f>
        <v>3</v>
      </c>
      <c r="AV342" s="49"/>
      <c r="AW342" s="49"/>
      <c r="AX342" s="49"/>
      <c r="AY342" s="49"/>
      <c r="AZ342" s="49"/>
      <c r="BA342" s="49"/>
      <c r="BB342" s="117" t="s">
        <v>4000</v>
      </c>
      <c r="BC342" s="117" t="s">
        <v>4000</v>
      </c>
      <c r="BD342" s="117" t="s">
        <v>4690</v>
      </c>
      <c r="BE342" s="117" t="s">
        <v>4690</v>
      </c>
      <c r="BF342" s="2"/>
      <c r="BG342" s="3"/>
      <c r="BH342" s="3"/>
      <c r="BI342" s="3"/>
      <c r="BJ342" s="3"/>
    </row>
    <row r="343" spans="1:62" ht="15">
      <c r="A343" s="66" t="s">
        <v>529</v>
      </c>
      <c r="B343" s="67"/>
      <c r="C343" s="67"/>
      <c r="D343" s="68">
        <v>50</v>
      </c>
      <c r="E343" s="70"/>
      <c r="F343" s="105" t="str">
        <f>HYPERLINK("https://yt3.ggpht.com/ytc/AIf8zZSFIlhiR--dw_gEgV5E5NAkhlidGIq4mWStjA=s88-c-k-c0x00ffffff-no-rj")</f>
        <v>https://yt3.ggpht.com/ytc/AIf8zZSFIlhiR--dw_gEgV5E5NAkhlidGIq4mWStjA=s88-c-k-c0x00ffffff-no-rj</v>
      </c>
      <c r="G343" s="67"/>
      <c r="H343" s="71" t="s">
        <v>2761</v>
      </c>
      <c r="I343" s="72"/>
      <c r="J343" s="72" t="s">
        <v>159</v>
      </c>
      <c r="K343" s="71" t="s">
        <v>2761</v>
      </c>
      <c r="L343" s="75">
        <v>1</v>
      </c>
      <c r="M343" s="76">
        <v>3895.788818359375</v>
      </c>
      <c r="N343" s="76">
        <v>7236.1318359375</v>
      </c>
      <c r="O343" s="77"/>
      <c r="P343" s="78"/>
      <c r="Q343" s="78"/>
      <c r="R343" s="90"/>
      <c r="S343" s="49">
        <v>0</v>
      </c>
      <c r="T343" s="49">
        <v>1</v>
      </c>
      <c r="U343" s="50">
        <v>0</v>
      </c>
      <c r="V343" s="50">
        <v>0.209338</v>
      </c>
      <c r="W343" s="51"/>
      <c r="X343" s="51"/>
      <c r="Y343" s="51"/>
      <c r="Z343" s="50"/>
      <c r="AA343" s="73">
        <v>343</v>
      </c>
      <c r="AB343" s="73"/>
      <c r="AC343" s="74"/>
      <c r="AD343" s="81" t="s">
        <v>2761</v>
      </c>
      <c r="AE343" s="81"/>
      <c r="AF343" s="81"/>
      <c r="AG343" s="81"/>
      <c r="AH343" s="81"/>
      <c r="AI343" s="81" t="s">
        <v>1995</v>
      </c>
      <c r="AJ343" s="88">
        <v>42435.344722222224</v>
      </c>
      <c r="AK343" s="86" t="str">
        <f>HYPERLINK("https://yt3.ggpht.com/ytc/AIf8zZSFIlhiR--dw_gEgV5E5NAkhlidGIq4mWStjA=s88-c-k-c0x00ffffff-no-rj")</f>
        <v>https://yt3.ggpht.com/ytc/AIf8zZSFIlhiR--dw_gEgV5E5NAkhlidGIq4mWStjA=s88-c-k-c0x00ffffff-no-rj</v>
      </c>
      <c r="AL343" s="81">
        <v>28</v>
      </c>
      <c r="AM343" s="81">
        <v>0</v>
      </c>
      <c r="AN343" s="81">
        <v>5</v>
      </c>
      <c r="AO343" s="81" t="b">
        <v>0</v>
      </c>
      <c r="AP343" s="81">
        <v>1</v>
      </c>
      <c r="AQ343" s="81"/>
      <c r="AR343" s="81"/>
      <c r="AS343" s="81" t="s">
        <v>3378</v>
      </c>
      <c r="AT343" s="86" t="str">
        <f>HYPERLINK("https://www.youtube.com/channel/UCRVKZwI7-F-r-IJphjY7Udw")</f>
        <v>https://www.youtube.com/channel/UCRVKZwI7-F-r-IJphjY7Udw</v>
      </c>
      <c r="AU343" s="81" t="str">
        <f>REPLACE(INDEX(GroupVertices[Group],MATCH("~"&amp;Vertices[[#This Row],[Vertex]],GroupVertices[Vertex],0)),1,1,"")</f>
        <v>3</v>
      </c>
      <c r="AV343" s="49"/>
      <c r="AW343" s="49"/>
      <c r="AX343" s="49"/>
      <c r="AY343" s="49"/>
      <c r="AZ343" s="49"/>
      <c r="BA343" s="49"/>
      <c r="BB343" s="117" t="s">
        <v>4001</v>
      </c>
      <c r="BC343" s="117" t="s">
        <v>4001</v>
      </c>
      <c r="BD343" s="117" t="s">
        <v>4691</v>
      </c>
      <c r="BE343" s="117" t="s">
        <v>4691</v>
      </c>
      <c r="BF343" s="2"/>
      <c r="BG343" s="3"/>
      <c r="BH343" s="3"/>
      <c r="BI343" s="3"/>
      <c r="BJ343" s="3"/>
    </row>
    <row r="344" spans="1:62" ht="15">
      <c r="A344" s="66" t="s">
        <v>530</v>
      </c>
      <c r="B344" s="67"/>
      <c r="C344" s="67"/>
      <c r="D344" s="68">
        <v>50</v>
      </c>
      <c r="E344" s="70"/>
      <c r="F344" s="105" t="str">
        <f>HYPERLINK("https://yt3.ggpht.com/ytc/AIf8zZTLRZOlP4FEuqa7I7R5A68GdbvLm3MkYVl9SUyisw=s88-c-k-c0x00ffffff-no-rj")</f>
        <v>https://yt3.ggpht.com/ytc/AIf8zZTLRZOlP4FEuqa7I7R5A68GdbvLm3MkYVl9SUyisw=s88-c-k-c0x00ffffff-no-rj</v>
      </c>
      <c r="G344" s="67"/>
      <c r="H344" s="71" t="s">
        <v>2762</v>
      </c>
      <c r="I344" s="72"/>
      <c r="J344" s="72" t="s">
        <v>159</v>
      </c>
      <c r="K344" s="71" t="s">
        <v>2762</v>
      </c>
      <c r="L344" s="75">
        <v>1</v>
      </c>
      <c r="M344" s="76">
        <v>5015.69580078125</v>
      </c>
      <c r="N344" s="76">
        <v>9817.2861328125</v>
      </c>
      <c r="O344" s="77"/>
      <c r="P344" s="78"/>
      <c r="Q344" s="78"/>
      <c r="R344" s="90"/>
      <c r="S344" s="49">
        <v>0</v>
      </c>
      <c r="T344" s="49">
        <v>1</v>
      </c>
      <c r="U344" s="50">
        <v>0</v>
      </c>
      <c r="V344" s="50">
        <v>0.209338</v>
      </c>
      <c r="W344" s="51"/>
      <c r="X344" s="51"/>
      <c r="Y344" s="51"/>
      <c r="Z344" s="50"/>
      <c r="AA344" s="73">
        <v>344</v>
      </c>
      <c r="AB344" s="73"/>
      <c r="AC344" s="74"/>
      <c r="AD344" s="81" t="s">
        <v>2762</v>
      </c>
      <c r="AE344" s="81"/>
      <c r="AF344" s="81"/>
      <c r="AG344" s="81"/>
      <c r="AH344" s="81"/>
      <c r="AI344" s="81" t="s">
        <v>1996</v>
      </c>
      <c r="AJ344" s="88">
        <v>40824.806076388886</v>
      </c>
      <c r="AK344" s="86" t="str">
        <f>HYPERLINK("https://yt3.ggpht.com/ytc/AIf8zZTLRZOlP4FEuqa7I7R5A68GdbvLm3MkYVl9SUyisw=s88-c-k-c0x00ffffff-no-rj")</f>
        <v>https://yt3.ggpht.com/ytc/AIf8zZTLRZOlP4FEuqa7I7R5A68GdbvLm3MkYVl9SUyisw=s88-c-k-c0x00ffffff-no-rj</v>
      </c>
      <c r="AL344" s="81">
        <v>1506</v>
      </c>
      <c r="AM344" s="81">
        <v>0</v>
      </c>
      <c r="AN344" s="81">
        <v>21</v>
      </c>
      <c r="AO344" s="81" t="b">
        <v>0</v>
      </c>
      <c r="AP344" s="81">
        <v>44</v>
      </c>
      <c r="AQ344" s="81"/>
      <c r="AR344" s="81"/>
      <c r="AS344" s="81" t="s">
        <v>3378</v>
      </c>
      <c r="AT344" s="86" t="str">
        <f>HYPERLINK("https://www.youtube.com/channel/UCe-x2nSlR_zJD4wa3SnhHVQ")</f>
        <v>https://www.youtube.com/channel/UCe-x2nSlR_zJD4wa3SnhHVQ</v>
      </c>
      <c r="AU344" s="81" t="str">
        <f>REPLACE(INDEX(GroupVertices[Group],MATCH("~"&amp;Vertices[[#This Row],[Vertex]],GroupVertices[Vertex],0)),1,1,"")</f>
        <v>3</v>
      </c>
      <c r="AV344" s="49"/>
      <c r="AW344" s="49"/>
      <c r="AX344" s="49"/>
      <c r="AY344" s="49"/>
      <c r="AZ344" s="49"/>
      <c r="BA344" s="49"/>
      <c r="BB344" s="117" t="s">
        <v>4002</v>
      </c>
      <c r="BC344" s="117" t="s">
        <v>4002</v>
      </c>
      <c r="BD344" s="117" t="s">
        <v>4692</v>
      </c>
      <c r="BE344" s="117" t="s">
        <v>4692</v>
      </c>
      <c r="BF344" s="2"/>
      <c r="BG344" s="3"/>
      <c r="BH344" s="3"/>
      <c r="BI344" s="3"/>
      <c r="BJ344" s="3"/>
    </row>
    <row r="345" spans="1:62" ht="15">
      <c r="A345" s="66" t="s">
        <v>531</v>
      </c>
      <c r="B345" s="67"/>
      <c r="C345" s="67"/>
      <c r="D345" s="68">
        <v>50</v>
      </c>
      <c r="E345" s="70"/>
      <c r="F345" s="105" t="str">
        <f>HYPERLINK("https://yt3.ggpht.com/ytc/AIf8zZSFwc-VXUGtbgUDl67LnREX-9LkssWVha6ngQ=s88-c-k-c0x00ffffff-no-rj-mo")</f>
        <v>https://yt3.ggpht.com/ytc/AIf8zZSFwc-VXUGtbgUDl67LnREX-9LkssWVha6ngQ=s88-c-k-c0x00ffffff-no-rj-mo</v>
      </c>
      <c r="G345" s="67"/>
      <c r="H345" s="71" t="s">
        <v>2763</v>
      </c>
      <c r="I345" s="72"/>
      <c r="J345" s="72" t="s">
        <v>159</v>
      </c>
      <c r="K345" s="71" t="s">
        <v>2763</v>
      </c>
      <c r="L345" s="75">
        <v>1</v>
      </c>
      <c r="M345" s="76">
        <v>6116.10107421875</v>
      </c>
      <c r="N345" s="76">
        <v>6035.85888671875</v>
      </c>
      <c r="O345" s="77"/>
      <c r="P345" s="78"/>
      <c r="Q345" s="78"/>
      <c r="R345" s="90"/>
      <c r="S345" s="49">
        <v>0</v>
      </c>
      <c r="T345" s="49">
        <v>1</v>
      </c>
      <c r="U345" s="50">
        <v>0</v>
      </c>
      <c r="V345" s="50">
        <v>0.209338</v>
      </c>
      <c r="W345" s="51"/>
      <c r="X345" s="51"/>
      <c r="Y345" s="51"/>
      <c r="Z345" s="50"/>
      <c r="AA345" s="73">
        <v>345</v>
      </c>
      <c r="AB345" s="73"/>
      <c r="AC345" s="74"/>
      <c r="AD345" s="81" t="s">
        <v>2763</v>
      </c>
      <c r="AE345" s="81"/>
      <c r="AF345" s="81"/>
      <c r="AG345" s="81"/>
      <c r="AH345" s="81"/>
      <c r="AI345" s="81" t="s">
        <v>1997</v>
      </c>
      <c r="AJ345" s="88">
        <v>41305.199525462966</v>
      </c>
      <c r="AK345" s="86" t="str">
        <f>HYPERLINK("https://yt3.ggpht.com/ytc/AIf8zZSFwc-VXUGtbgUDl67LnREX-9LkssWVha6ngQ=s88-c-k-c0x00ffffff-no-rj-mo")</f>
        <v>https://yt3.ggpht.com/ytc/AIf8zZSFwc-VXUGtbgUDl67LnREX-9LkssWVha6ngQ=s88-c-k-c0x00ffffff-no-rj-mo</v>
      </c>
      <c r="AL345" s="81">
        <v>581</v>
      </c>
      <c r="AM345" s="81">
        <v>0</v>
      </c>
      <c r="AN345" s="81">
        <v>26</v>
      </c>
      <c r="AO345" s="81" t="b">
        <v>0</v>
      </c>
      <c r="AP345" s="81">
        <v>0</v>
      </c>
      <c r="AQ345" s="81"/>
      <c r="AR345" s="81"/>
      <c r="AS345" s="81" t="s">
        <v>3378</v>
      </c>
      <c r="AT345" s="86" t="str">
        <f>HYPERLINK("https://www.youtube.com/channel/UCxZ34QXv1qu0StOapVsVxpA")</f>
        <v>https://www.youtube.com/channel/UCxZ34QXv1qu0StOapVsVxpA</v>
      </c>
      <c r="AU345" s="81" t="str">
        <f>REPLACE(INDEX(GroupVertices[Group],MATCH("~"&amp;Vertices[[#This Row],[Vertex]],GroupVertices[Vertex],0)),1,1,"")</f>
        <v>3</v>
      </c>
      <c r="AV345" s="49"/>
      <c r="AW345" s="49"/>
      <c r="AX345" s="49"/>
      <c r="AY345" s="49"/>
      <c r="AZ345" s="49"/>
      <c r="BA345" s="49"/>
      <c r="BB345" s="117" t="s">
        <v>4003</v>
      </c>
      <c r="BC345" s="117" t="s">
        <v>4003</v>
      </c>
      <c r="BD345" s="117" t="s">
        <v>4693</v>
      </c>
      <c r="BE345" s="117" t="s">
        <v>4693</v>
      </c>
      <c r="BF345" s="2"/>
      <c r="BG345" s="3"/>
      <c r="BH345" s="3"/>
      <c r="BI345" s="3"/>
      <c r="BJ345" s="3"/>
    </row>
    <row r="346" spans="1:62" ht="15">
      <c r="A346" s="66" t="s">
        <v>532</v>
      </c>
      <c r="B346" s="67"/>
      <c r="C346" s="67"/>
      <c r="D346" s="68">
        <v>50</v>
      </c>
      <c r="E346" s="70"/>
      <c r="F346" s="105" t="str">
        <f>HYPERLINK("https://yt3.ggpht.com/ytc/AIf8zZTq5vjJky9vLfAOo-4qvdfDEanlIqQDpl1LFA=s88-c-k-c0x00ffffff-no-rj")</f>
        <v>https://yt3.ggpht.com/ytc/AIf8zZTq5vjJky9vLfAOo-4qvdfDEanlIqQDpl1LFA=s88-c-k-c0x00ffffff-no-rj</v>
      </c>
      <c r="G346" s="67"/>
      <c r="H346" s="71" t="s">
        <v>2764</v>
      </c>
      <c r="I346" s="72"/>
      <c r="J346" s="72" t="s">
        <v>159</v>
      </c>
      <c r="K346" s="71" t="s">
        <v>2764</v>
      </c>
      <c r="L346" s="75">
        <v>1</v>
      </c>
      <c r="M346" s="76">
        <v>5326.06494140625</v>
      </c>
      <c r="N346" s="76">
        <v>6154.99755859375</v>
      </c>
      <c r="O346" s="77"/>
      <c r="P346" s="78"/>
      <c r="Q346" s="78"/>
      <c r="R346" s="90"/>
      <c r="S346" s="49">
        <v>0</v>
      </c>
      <c r="T346" s="49">
        <v>1</v>
      </c>
      <c r="U346" s="50">
        <v>0</v>
      </c>
      <c r="V346" s="50">
        <v>0.209338</v>
      </c>
      <c r="W346" s="51"/>
      <c r="X346" s="51"/>
      <c r="Y346" s="51"/>
      <c r="Z346" s="50"/>
      <c r="AA346" s="73">
        <v>346</v>
      </c>
      <c r="AB346" s="73"/>
      <c r="AC346" s="74"/>
      <c r="AD346" s="81" t="s">
        <v>2764</v>
      </c>
      <c r="AE346" s="81"/>
      <c r="AF346" s="81"/>
      <c r="AG346" s="81"/>
      <c r="AH346" s="81"/>
      <c r="AI346" s="81" t="s">
        <v>1998</v>
      </c>
      <c r="AJ346" s="88">
        <v>40389.35917824074</v>
      </c>
      <c r="AK346" s="86" t="str">
        <f>HYPERLINK("https://yt3.ggpht.com/ytc/AIf8zZTq5vjJky9vLfAOo-4qvdfDEanlIqQDpl1LFA=s88-c-k-c0x00ffffff-no-rj")</f>
        <v>https://yt3.ggpht.com/ytc/AIf8zZTq5vjJky9vLfAOo-4qvdfDEanlIqQDpl1LFA=s88-c-k-c0x00ffffff-no-rj</v>
      </c>
      <c r="AL346" s="81">
        <v>0</v>
      </c>
      <c r="AM346" s="81">
        <v>0</v>
      </c>
      <c r="AN346" s="81">
        <v>1</v>
      </c>
      <c r="AO346" s="81" t="b">
        <v>0</v>
      </c>
      <c r="AP346" s="81">
        <v>0</v>
      </c>
      <c r="AQ346" s="81"/>
      <c r="AR346" s="81"/>
      <c r="AS346" s="81" t="s">
        <v>3378</v>
      </c>
      <c r="AT346" s="86" t="str">
        <f>HYPERLINK("https://www.youtube.com/channel/UCInFRWIhmYnyFVuPvhANbtQ")</f>
        <v>https://www.youtube.com/channel/UCInFRWIhmYnyFVuPvhANbtQ</v>
      </c>
      <c r="AU346" s="81" t="str">
        <f>REPLACE(INDEX(GroupVertices[Group],MATCH("~"&amp;Vertices[[#This Row],[Vertex]],GroupVertices[Vertex],0)),1,1,"")</f>
        <v>3</v>
      </c>
      <c r="AV346" s="49"/>
      <c r="AW346" s="49"/>
      <c r="AX346" s="49"/>
      <c r="AY346" s="49"/>
      <c r="AZ346" s="49"/>
      <c r="BA346" s="49"/>
      <c r="BB346" s="117" t="s">
        <v>4004</v>
      </c>
      <c r="BC346" s="117" t="s">
        <v>4004</v>
      </c>
      <c r="BD346" s="117" t="s">
        <v>4694</v>
      </c>
      <c r="BE346" s="117" t="s">
        <v>4694</v>
      </c>
      <c r="BF346" s="2"/>
      <c r="BG346" s="3"/>
      <c r="BH346" s="3"/>
      <c r="BI346" s="3"/>
      <c r="BJ346" s="3"/>
    </row>
    <row r="347" spans="1:62" ht="15">
      <c r="A347" s="66" t="s">
        <v>533</v>
      </c>
      <c r="B347" s="67"/>
      <c r="C347" s="67"/>
      <c r="D347" s="68">
        <v>50</v>
      </c>
      <c r="E347" s="70"/>
      <c r="F347" s="105" t="str">
        <f>HYPERLINK("https://yt3.ggpht.com/ytc/AIf8zZSL_P_PTMBHq6t6nvH1Nn_dMAu-gYGaEVuH-BqQ=s88-c-k-c0x00ffffff-no-rj")</f>
        <v>https://yt3.ggpht.com/ytc/AIf8zZSL_P_PTMBHq6t6nvH1Nn_dMAu-gYGaEVuH-BqQ=s88-c-k-c0x00ffffff-no-rj</v>
      </c>
      <c r="G347" s="67"/>
      <c r="H347" s="71" t="s">
        <v>2765</v>
      </c>
      <c r="I347" s="72"/>
      <c r="J347" s="72" t="s">
        <v>159</v>
      </c>
      <c r="K347" s="71" t="s">
        <v>2765</v>
      </c>
      <c r="L347" s="75">
        <v>1</v>
      </c>
      <c r="M347" s="76">
        <v>5163.91748046875</v>
      </c>
      <c r="N347" s="76">
        <v>9463.822265625</v>
      </c>
      <c r="O347" s="77"/>
      <c r="P347" s="78"/>
      <c r="Q347" s="78"/>
      <c r="R347" s="90"/>
      <c r="S347" s="49">
        <v>0</v>
      </c>
      <c r="T347" s="49">
        <v>1</v>
      </c>
      <c r="U347" s="50">
        <v>0</v>
      </c>
      <c r="V347" s="50">
        <v>0.209338</v>
      </c>
      <c r="W347" s="51"/>
      <c r="X347" s="51"/>
      <c r="Y347" s="51"/>
      <c r="Z347" s="50"/>
      <c r="AA347" s="73">
        <v>347</v>
      </c>
      <c r="AB347" s="73"/>
      <c r="AC347" s="74"/>
      <c r="AD347" s="81" t="s">
        <v>2765</v>
      </c>
      <c r="AE347" s="81"/>
      <c r="AF347" s="81"/>
      <c r="AG347" s="81"/>
      <c r="AH347" s="81"/>
      <c r="AI347" s="81" t="s">
        <v>1999</v>
      </c>
      <c r="AJ347" s="88">
        <v>40073.78855324074</v>
      </c>
      <c r="AK347" s="86" t="str">
        <f>HYPERLINK("https://yt3.ggpht.com/ytc/AIf8zZSL_P_PTMBHq6t6nvH1Nn_dMAu-gYGaEVuH-BqQ=s88-c-k-c0x00ffffff-no-rj")</f>
        <v>https://yt3.ggpht.com/ytc/AIf8zZSL_P_PTMBHq6t6nvH1Nn_dMAu-gYGaEVuH-BqQ=s88-c-k-c0x00ffffff-no-rj</v>
      </c>
      <c r="AL347" s="81">
        <v>95</v>
      </c>
      <c r="AM347" s="81">
        <v>0</v>
      </c>
      <c r="AN347" s="81">
        <v>7</v>
      </c>
      <c r="AO347" s="81" t="b">
        <v>0</v>
      </c>
      <c r="AP347" s="81">
        <v>1</v>
      </c>
      <c r="AQ347" s="81"/>
      <c r="AR347" s="81"/>
      <c r="AS347" s="81" t="s">
        <v>3378</v>
      </c>
      <c r="AT347" s="86" t="str">
        <f>HYPERLINK("https://www.youtube.com/channel/UC45V4qR59vMfnq9q3-oyQlg")</f>
        <v>https://www.youtube.com/channel/UC45V4qR59vMfnq9q3-oyQlg</v>
      </c>
      <c r="AU347" s="81" t="str">
        <f>REPLACE(INDEX(GroupVertices[Group],MATCH("~"&amp;Vertices[[#This Row],[Vertex]],GroupVertices[Vertex],0)),1,1,"")</f>
        <v>3</v>
      </c>
      <c r="AV347" s="49"/>
      <c r="AW347" s="49"/>
      <c r="AX347" s="49"/>
      <c r="AY347" s="49"/>
      <c r="AZ347" s="49"/>
      <c r="BA347" s="49"/>
      <c r="BB347" s="117" t="s">
        <v>4005</v>
      </c>
      <c r="BC347" s="117" t="s">
        <v>4005</v>
      </c>
      <c r="BD347" s="117" t="s">
        <v>4695</v>
      </c>
      <c r="BE347" s="117" t="s">
        <v>4695</v>
      </c>
      <c r="BF347" s="2"/>
      <c r="BG347" s="3"/>
      <c r="BH347" s="3"/>
      <c r="BI347" s="3"/>
      <c r="BJ347" s="3"/>
    </row>
    <row r="348" spans="1:62" ht="15">
      <c r="A348" s="66" t="s">
        <v>534</v>
      </c>
      <c r="B348" s="67"/>
      <c r="C348" s="67"/>
      <c r="D348" s="68">
        <v>50</v>
      </c>
      <c r="E348" s="70"/>
      <c r="F348" s="105" t="str">
        <f>HYPERLINK("https://yt3.ggpht.com/ytc/AIf8zZR1J5octN2t_LQDQG-ezBjaTO-FM60e2vKNcA=s88-c-k-c0x00ffffff-no-rj")</f>
        <v>https://yt3.ggpht.com/ytc/AIf8zZR1J5octN2t_LQDQG-ezBjaTO-FM60e2vKNcA=s88-c-k-c0x00ffffff-no-rj</v>
      </c>
      <c r="G348" s="67"/>
      <c r="H348" s="71" t="s">
        <v>2766</v>
      </c>
      <c r="I348" s="72"/>
      <c r="J348" s="72" t="s">
        <v>159</v>
      </c>
      <c r="K348" s="71" t="s">
        <v>2766</v>
      </c>
      <c r="L348" s="75">
        <v>1</v>
      </c>
      <c r="M348" s="76">
        <v>5015.484375</v>
      </c>
      <c r="N348" s="76">
        <v>6615.9541015625</v>
      </c>
      <c r="O348" s="77"/>
      <c r="P348" s="78"/>
      <c r="Q348" s="78"/>
      <c r="R348" s="90"/>
      <c r="S348" s="49">
        <v>0</v>
      </c>
      <c r="T348" s="49">
        <v>1</v>
      </c>
      <c r="U348" s="50">
        <v>0</v>
      </c>
      <c r="V348" s="50">
        <v>0.209338</v>
      </c>
      <c r="W348" s="51"/>
      <c r="X348" s="51"/>
      <c r="Y348" s="51"/>
      <c r="Z348" s="50"/>
      <c r="AA348" s="73">
        <v>348</v>
      </c>
      <c r="AB348" s="73"/>
      <c r="AC348" s="74"/>
      <c r="AD348" s="81" t="s">
        <v>2766</v>
      </c>
      <c r="AE348" s="81"/>
      <c r="AF348" s="81"/>
      <c r="AG348" s="81"/>
      <c r="AH348" s="81"/>
      <c r="AI348" s="81" t="s">
        <v>3301</v>
      </c>
      <c r="AJ348" s="88">
        <v>42785.97429398148</v>
      </c>
      <c r="AK348" s="86" t="str">
        <f>HYPERLINK("https://yt3.ggpht.com/ytc/AIf8zZR1J5octN2t_LQDQG-ezBjaTO-FM60e2vKNcA=s88-c-k-c0x00ffffff-no-rj")</f>
        <v>https://yt3.ggpht.com/ytc/AIf8zZR1J5octN2t_LQDQG-ezBjaTO-FM60e2vKNcA=s88-c-k-c0x00ffffff-no-rj</v>
      </c>
      <c r="AL348" s="81">
        <v>0</v>
      </c>
      <c r="AM348" s="81">
        <v>0</v>
      </c>
      <c r="AN348" s="81">
        <v>0</v>
      </c>
      <c r="AO348" s="81" t="b">
        <v>0</v>
      </c>
      <c r="AP348" s="81">
        <v>0</v>
      </c>
      <c r="AQ348" s="81"/>
      <c r="AR348" s="81"/>
      <c r="AS348" s="81" t="s">
        <v>3378</v>
      </c>
      <c r="AT348" s="86" t="str">
        <f>HYPERLINK("https://www.youtube.com/channel/UC9gUoiR-xCO-j_7ibOzb4Kw")</f>
        <v>https://www.youtube.com/channel/UC9gUoiR-xCO-j_7ibOzb4Kw</v>
      </c>
      <c r="AU348" s="81" t="str">
        <f>REPLACE(INDEX(GroupVertices[Group],MATCH("~"&amp;Vertices[[#This Row],[Vertex]],GroupVertices[Vertex],0)),1,1,"")</f>
        <v>3</v>
      </c>
      <c r="AV348" s="49"/>
      <c r="AW348" s="49"/>
      <c r="AX348" s="49"/>
      <c r="AY348" s="49"/>
      <c r="AZ348" s="49"/>
      <c r="BA348" s="49"/>
      <c r="BB348" s="117" t="s">
        <v>4006</v>
      </c>
      <c r="BC348" s="117" t="s">
        <v>4006</v>
      </c>
      <c r="BD348" s="117" t="s">
        <v>4696</v>
      </c>
      <c r="BE348" s="117" t="s">
        <v>4696</v>
      </c>
      <c r="BF348" s="2"/>
      <c r="BG348" s="3"/>
      <c r="BH348" s="3"/>
      <c r="BI348" s="3"/>
      <c r="BJ348" s="3"/>
    </row>
    <row r="349" spans="1:62" ht="15">
      <c r="A349" s="66" t="s">
        <v>535</v>
      </c>
      <c r="B349" s="67"/>
      <c r="C349" s="67"/>
      <c r="D349" s="68">
        <v>50</v>
      </c>
      <c r="E349" s="70"/>
      <c r="F349" s="105" t="str">
        <f>HYPERLINK("https://yt3.ggpht.com/ytc/AIf8zZS94qZppUlt4z5bbTLFWW5jOuFrmzuVCvbogW_0=s88-c-k-c0x00ffffff-no-rj")</f>
        <v>https://yt3.ggpht.com/ytc/AIf8zZS94qZppUlt4z5bbTLFWW5jOuFrmzuVCvbogW_0=s88-c-k-c0x00ffffff-no-rj</v>
      </c>
      <c r="G349" s="67"/>
      <c r="H349" s="71" t="s">
        <v>2767</v>
      </c>
      <c r="I349" s="72"/>
      <c r="J349" s="72" t="s">
        <v>159</v>
      </c>
      <c r="K349" s="71" t="s">
        <v>2767</v>
      </c>
      <c r="L349" s="75">
        <v>1</v>
      </c>
      <c r="M349" s="76">
        <v>5111.681640625</v>
      </c>
      <c r="N349" s="76">
        <v>7111.42822265625</v>
      </c>
      <c r="O349" s="77"/>
      <c r="P349" s="78"/>
      <c r="Q349" s="78"/>
      <c r="R349" s="90"/>
      <c r="S349" s="49">
        <v>0</v>
      </c>
      <c r="T349" s="49">
        <v>1</v>
      </c>
      <c r="U349" s="50">
        <v>0</v>
      </c>
      <c r="V349" s="50">
        <v>0.209338</v>
      </c>
      <c r="W349" s="51"/>
      <c r="X349" s="51"/>
      <c r="Y349" s="51"/>
      <c r="Z349" s="50"/>
      <c r="AA349" s="73">
        <v>349</v>
      </c>
      <c r="AB349" s="73"/>
      <c r="AC349" s="74"/>
      <c r="AD349" s="81" t="s">
        <v>2767</v>
      </c>
      <c r="AE349" s="81"/>
      <c r="AF349" s="81"/>
      <c r="AG349" s="81"/>
      <c r="AH349" s="81"/>
      <c r="AI349" s="81" t="s">
        <v>2001</v>
      </c>
      <c r="AJ349" s="88">
        <v>41053.144791666666</v>
      </c>
      <c r="AK349" s="86" t="str">
        <f>HYPERLINK("https://yt3.ggpht.com/ytc/AIf8zZS94qZppUlt4z5bbTLFWW5jOuFrmzuVCvbogW_0=s88-c-k-c0x00ffffff-no-rj")</f>
        <v>https://yt3.ggpht.com/ytc/AIf8zZS94qZppUlt4z5bbTLFWW5jOuFrmzuVCvbogW_0=s88-c-k-c0x00ffffff-no-rj</v>
      </c>
      <c r="AL349" s="81">
        <v>0</v>
      </c>
      <c r="AM349" s="81">
        <v>0</v>
      </c>
      <c r="AN349" s="81">
        <v>0</v>
      </c>
      <c r="AO349" s="81" t="b">
        <v>0</v>
      </c>
      <c r="AP349" s="81">
        <v>0</v>
      </c>
      <c r="AQ349" s="81"/>
      <c r="AR349" s="81"/>
      <c r="AS349" s="81" t="s">
        <v>3378</v>
      </c>
      <c r="AT349" s="86" t="str">
        <f>HYPERLINK("https://www.youtube.com/channel/UCM2asyX07fZpUMDEJTp3h-w")</f>
        <v>https://www.youtube.com/channel/UCM2asyX07fZpUMDEJTp3h-w</v>
      </c>
      <c r="AU349" s="81" t="str">
        <f>REPLACE(INDEX(GroupVertices[Group],MATCH("~"&amp;Vertices[[#This Row],[Vertex]],GroupVertices[Vertex],0)),1,1,"")</f>
        <v>3</v>
      </c>
      <c r="AV349" s="49"/>
      <c r="AW349" s="49"/>
      <c r="AX349" s="49"/>
      <c r="AY349" s="49"/>
      <c r="AZ349" s="49"/>
      <c r="BA349" s="49"/>
      <c r="BB349" s="117" t="s">
        <v>4007</v>
      </c>
      <c r="BC349" s="117" t="s">
        <v>4007</v>
      </c>
      <c r="BD349" s="117" t="s">
        <v>4697</v>
      </c>
      <c r="BE349" s="117" t="s">
        <v>4697</v>
      </c>
      <c r="BF349" s="2"/>
      <c r="BG349" s="3"/>
      <c r="BH349" s="3"/>
      <c r="BI349" s="3"/>
      <c r="BJ349" s="3"/>
    </row>
    <row r="350" spans="1:62" ht="15">
      <c r="A350" s="66" t="s">
        <v>536</v>
      </c>
      <c r="B350" s="67"/>
      <c r="C350" s="67"/>
      <c r="D350" s="68">
        <v>50</v>
      </c>
      <c r="E350" s="70"/>
      <c r="F350" s="105" t="str">
        <f>HYPERLINK("https://yt3.ggpht.com/ytc/AIf8zZQ4_X7nU5I1qppVJMgwu_nnj727ewkbhjnks2vosgwwGYtsqdn2HrgndgHWUSVx=s88-c-k-c0x00ffffff-no-rj")</f>
        <v>https://yt3.ggpht.com/ytc/AIf8zZQ4_X7nU5I1qppVJMgwu_nnj727ewkbhjnks2vosgwwGYtsqdn2HrgndgHWUSVx=s88-c-k-c0x00ffffff-no-rj</v>
      </c>
      <c r="G350" s="67"/>
      <c r="H350" s="71" t="s">
        <v>2768</v>
      </c>
      <c r="I350" s="72"/>
      <c r="J350" s="72" t="s">
        <v>159</v>
      </c>
      <c r="K350" s="71" t="s">
        <v>2768</v>
      </c>
      <c r="L350" s="75">
        <v>1</v>
      </c>
      <c r="M350" s="76">
        <v>6320.34619140625</v>
      </c>
      <c r="N350" s="76">
        <v>8171.7890625</v>
      </c>
      <c r="O350" s="77"/>
      <c r="P350" s="78"/>
      <c r="Q350" s="78"/>
      <c r="R350" s="90"/>
      <c r="S350" s="49">
        <v>0</v>
      </c>
      <c r="T350" s="49">
        <v>1</v>
      </c>
      <c r="U350" s="50">
        <v>0</v>
      </c>
      <c r="V350" s="50">
        <v>0.209338</v>
      </c>
      <c r="W350" s="51"/>
      <c r="X350" s="51"/>
      <c r="Y350" s="51"/>
      <c r="Z350" s="50"/>
      <c r="AA350" s="73">
        <v>350</v>
      </c>
      <c r="AB350" s="73"/>
      <c r="AC350" s="74"/>
      <c r="AD350" s="81" t="s">
        <v>2768</v>
      </c>
      <c r="AE350" s="81"/>
      <c r="AF350" s="81"/>
      <c r="AG350" s="81"/>
      <c r="AH350" s="81"/>
      <c r="AI350" s="81" t="s">
        <v>2002</v>
      </c>
      <c r="AJ350" s="88">
        <v>44669.15263888889</v>
      </c>
      <c r="AK350" s="86" t="str">
        <f>HYPERLINK("https://yt3.ggpht.com/ytc/AIf8zZQ4_X7nU5I1qppVJMgwu_nnj727ewkbhjnks2vosgwwGYtsqdn2HrgndgHWUSVx=s88-c-k-c0x00ffffff-no-rj")</f>
        <v>https://yt3.ggpht.com/ytc/AIf8zZQ4_X7nU5I1qppVJMgwu_nnj727ewkbhjnks2vosgwwGYtsqdn2HrgndgHWUSVx=s88-c-k-c0x00ffffff-no-rj</v>
      </c>
      <c r="AL350" s="81">
        <v>1</v>
      </c>
      <c r="AM350" s="81">
        <v>0</v>
      </c>
      <c r="AN350" s="81">
        <v>0</v>
      </c>
      <c r="AO350" s="81" t="b">
        <v>0</v>
      </c>
      <c r="AP350" s="81">
        <v>1</v>
      </c>
      <c r="AQ350" s="81"/>
      <c r="AR350" s="81"/>
      <c r="AS350" s="81" t="s">
        <v>3378</v>
      </c>
      <c r="AT350" s="86" t="str">
        <f>HYPERLINK("https://www.youtube.com/channel/UCHTCV90UFDxZ7i0RKRCi3Zw")</f>
        <v>https://www.youtube.com/channel/UCHTCV90UFDxZ7i0RKRCi3Zw</v>
      </c>
      <c r="AU350" s="81" t="str">
        <f>REPLACE(INDEX(GroupVertices[Group],MATCH("~"&amp;Vertices[[#This Row],[Vertex]],GroupVertices[Vertex],0)),1,1,"")</f>
        <v>3</v>
      </c>
      <c r="AV350" s="49"/>
      <c r="AW350" s="49"/>
      <c r="AX350" s="49"/>
      <c r="AY350" s="49"/>
      <c r="AZ350" s="49"/>
      <c r="BA350" s="49"/>
      <c r="BB350" s="117" t="s">
        <v>4008</v>
      </c>
      <c r="BC350" s="117" t="s">
        <v>4008</v>
      </c>
      <c r="BD350" s="117" t="s">
        <v>4698</v>
      </c>
      <c r="BE350" s="117" t="s">
        <v>4698</v>
      </c>
      <c r="BF350" s="2"/>
      <c r="BG350" s="3"/>
      <c r="BH350" s="3"/>
      <c r="BI350" s="3"/>
      <c r="BJ350" s="3"/>
    </row>
    <row r="351" spans="1:62" ht="15">
      <c r="A351" s="66" t="s">
        <v>537</v>
      </c>
      <c r="B351" s="67"/>
      <c r="C351" s="67"/>
      <c r="D351" s="68">
        <v>50</v>
      </c>
      <c r="E351" s="70"/>
      <c r="F351" s="105" t="str">
        <f>HYPERLINK("https://yt3.ggpht.com/ytc/AIf8zZRFfc-Db8tqksBS0L8_8U_K3ME7vu5VyqJpvw=s88-c-k-c0x00ffffff-no-rj")</f>
        <v>https://yt3.ggpht.com/ytc/AIf8zZRFfc-Db8tqksBS0L8_8U_K3ME7vu5VyqJpvw=s88-c-k-c0x00ffffff-no-rj</v>
      </c>
      <c r="G351" s="67"/>
      <c r="H351" s="71" t="s">
        <v>2769</v>
      </c>
      <c r="I351" s="72"/>
      <c r="J351" s="72" t="s">
        <v>159</v>
      </c>
      <c r="K351" s="71" t="s">
        <v>2769</v>
      </c>
      <c r="L351" s="75">
        <v>1</v>
      </c>
      <c r="M351" s="76">
        <v>4925.02197265625</v>
      </c>
      <c r="N351" s="76">
        <v>5840.6474609375</v>
      </c>
      <c r="O351" s="77"/>
      <c r="P351" s="78"/>
      <c r="Q351" s="78"/>
      <c r="R351" s="90"/>
      <c r="S351" s="49">
        <v>0</v>
      </c>
      <c r="T351" s="49">
        <v>1</v>
      </c>
      <c r="U351" s="50">
        <v>0</v>
      </c>
      <c r="V351" s="50">
        <v>0.209338</v>
      </c>
      <c r="W351" s="51"/>
      <c r="X351" s="51"/>
      <c r="Y351" s="51"/>
      <c r="Z351" s="50"/>
      <c r="AA351" s="73">
        <v>351</v>
      </c>
      <c r="AB351" s="73"/>
      <c r="AC351" s="74"/>
      <c r="AD351" s="81" t="s">
        <v>2769</v>
      </c>
      <c r="AE351" s="81"/>
      <c r="AF351" s="81"/>
      <c r="AG351" s="81"/>
      <c r="AH351" s="81"/>
      <c r="AI351" s="81" t="s">
        <v>2003</v>
      </c>
      <c r="AJ351" s="88">
        <v>43381.86699074074</v>
      </c>
      <c r="AK351" s="86" t="str">
        <f>HYPERLINK("https://yt3.ggpht.com/ytc/AIf8zZRFfc-Db8tqksBS0L8_8U_K3ME7vu5VyqJpvw=s88-c-k-c0x00ffffff-no-rj")</f>
        <v>https://yt3.ggpht.com/ytc/AIf8zZRFfc-Db8tqksBS0L8_8U_K3ME7vu5VyqJpvw=s88-c-k-c0x00ffffff-no-rj</v>
      </c>
      <c r="AL351" s="81">
        <v>0</v>
      </c>
      <c r="AM351" s="81">
        <v>0</v>
      </c>
      <c r="AN351" s="81">
        <v>0</v>
      </c>
      <c r="AO351" s="81" t="b">
        <v>0</v>
      </c>
      <c r="AP351" s="81">
        <v>0</v>
      </c>
      <c r="AQ351" s="81"/>
      <c r="AR351" s="81"/>
      <c r="AS351" s="81" t="s">
        <v>3378</v>
      </c>
      <c r="AT351" s="86" t="str">
        <f>HYPERLINK("https://www.youtube.com/channel/UC5gP-UK-5mQ5SYHsftRMrFg")</f>
        <v>https://www.youtube.com/channel/UC5gP-UK-5mQ5SYHsftRMrFg</v>
      </c>
      <c r="AU351" s="81" t="str">
        <f>REPLACE(INDEX(GroupVertices[Group],MATCH("~"&amp;Vertices[[#This Row],[Vertex]],GroupVertices[Vertex],0)),1,1,"")</f>
        <v>3</v>
      </c>
      <c r="AV351" s="49"/>
      <c r="AW351" s="49"/>
      <c r="AX351" s="49"/>
      <c r="AY351" s="49"/>
      <c r="AZ351" s="49"/>
      <c r="BA351" s="49"/>
      <c r="BB351" s="117" t="s">
        <v>4009</v>
      </c>
      <c r="BC351" s="117" t="s">
        <v>4009</v>
      </c>
      <c r="BD351" s="117" t="s">
        <v>4699</v>
      </c>
      <c r="BE351" s="117" t="s">
        <v>4699</v>
      </c>
      <c r="BF351" s="2"/>
      <c r="BG351" s="3"/>
      <c r="BH351" s="3"/>
      <c r="BI351" s="3"/>
      <c r="BJ351" s="3"/>
    </row>
    <row r="352" spans="1:62" ht="15">
      <c r="A352" s="66" t="s">
        <v>538</v>
      </c>
      <c r="B352" s="67"/>
      <c r="C352" s="67"/>
      <c r="D352" s="68">
        <v>50</v>
      </c>
      <c r="E352" s="70"/>
      <c r="F352" s="105" t="str">
        <f>HYPERLINK("https://yt3.ggpht.com/ytc/AIf8zZTyQiSfY_ofMcS4wqoLINZtT5TaBKTvFT_xJEvh0w=s88-c-k-c0x00ffffff-no-rj")</f>
        <v>https://yt3.ggpht.com/ytc/AIf8zZTyQiSfY_ofMcS4wqoLINZtT5TaBKTvFT_xJEvh0w=s88-c-k-c0x00ffffff-no-rj</v>
      </c>
      <c r="G352" s="67"/>
      <c r="H352" s="71" t="s">
        <v>2770</v>
      </c>
      <c r="I352" s="72"/>
      <c r="J352" s="72" t="s">
        <v>159</v>
      </c>
      <c r="K352" s="71" t="s">
        <v>2770</v>
      </c>
      <c r="L352" s="75">
        <v>1</v>
      </c>
      <c r="M352" s="76">
        <v>4556.89404296875</v>
      </c>
      <c r="N352" s="76">
        <v>6079.3837890625</v>
      </c>
      <c r="O352" s="77"/>
      <c r="P352" s="78"/>
      <c r="Q352" s="78"/>
      <c r="R352" s="90"/>
      <c r="S352" s="49">
        <v>0</v>
      </c>
      <c r="T352" s="49">
        <v>1</v>
      </c>
      <c r="U352" s="50">
        <v>0</v>
      </c>
      <c r="V352" s="50">
        <v>0.209338</v>
      </c>
      <c r="W352" s="51"/>
      <c r="X352" s="51"/>
      <c r="Y352" s="51"/>
      <c r="Z352" s="50"/>
      <c r="AA352" s="73">
        <v>352</v>
      </c>
      <c r="AB352" s="73"/>
      <c r="AC352" s="74"/>
      <c r="AD352" s="81" t="s">
        <v>2770</v>
      </c>
      <c r="AE352" s="81"/>
      <c r="AF352" s="81"/>
      <c r="AG352" s="81"/>
      <c r="AH352" s="81"/>
      <c r="AI352" s="81" t="s">
        <v>2004</v>
      </c>
      <c r="AJ352" s="88">
        <v>40802.9155787037</v>
      </c>
      <c r="AK352" s="86" t="str">
        <f>HYPERLINK("https://yt3.ggpht.com/ytc/AIf8zZTyQiSfY_ofMcS4wqoLINZtT5TaBKTvFT_xJEvh0w=s88-c-k-c0x00ffffff-no-rj")</f>
        <v>https://yt3.ggpht.com/ytc/AIf8zZTyQiSfY_ofMcS4wqoLINZtT5TaBKTvFT_xJEvh0w=s88-c-k-c0x00ffffff-no-rj</v>
      </c>
      <c r="AL352" s="81">
        <v>0</v>
      </c>
      <c r="AM352" s="81">
        <v>0</v>
      </c>
      <c r="AN352" s="81">
        <v>0</v>
      </c>
      <c r="AO352" s="81" t="b">
        <v>0</v>
      </c>
      <c r="AP352" s="81">
        <v>0</v>
      </c>
      <c r="AQ352" s="81"/>
      <c r="AR352" s="81"/>
      <c r="AS352" s="81" t="s">
        <v>3378</v>
      </c>
      <c r="AT352" s="86" t="str">
        <f>HYPERLINK("https://www.youtube.com/channel/UCh2fWNYGetPHQu4pDzk_OTQ")</f>
        <v>https://www.youtube.com/channel/UCh2fWNYGetPHQu4pDzk_OTQ</v>
      </c>
      <c r="AU352" s="81" t="str">
        <f>REPLACE(INDEX(GroupVertices[Group],MATCH("~"&amp;Vertices[[#This Row],[Vertex]],GroupVertices[Vertex],0)),1,1,"")</f>
        <v>3</v>
      </c>
      <c r="AV352" s="49"/>
      <c r="AW352" s="49"/>
      <c r="AX352" s="49"/>
      <c r="AY352" s="49"/>
      <c r="AZ352" s="49"/>
      <c r="BA352" s="49"/>
      <c r="BB352" s="117" t="s">
        <v>4010</v>
      </c>
      <c r="BC352" s="117" t="s">
        <v>4010</v>
      </c>
      <c r="BD352" s="117" t="s">
        <v>4700</v>
      </c>
      <c r="BE352" s="117" t="s">
        <v>4700</v>
      </c>
      <c r="BF352" s="2"/>
      <c r="BG352" s="3"/>
      <c r="BH352" s="3"/>
      <c r="BI352" s="3"/>
      <c r="BJ352" s="3"/>
    </row>
    <row r="353" spans="1:62" ht="15">
      <c r="A353" s="66" t="s">
        <v>539</v>
      </c>
      <c r="B353" s="67"/>
      <c r="C353" s="67"/>
      <c r="D353" s="68">
        <v>50</v>
      </c>
      <c r="E353" s="70"/>
      <c r="F353" s="105" t="str">
        <f>HYPERLINK("https://yt3.ggpht.com/ytc/AIf8zZRZeRB8QkrpYAfJvFuILS_a0PcC_8rPTYJ154sQSg=s88-c-k-c0x00ffffff-no-rj")</f>
        <v>https://yt3.ggpht.com/ytc/AIf8zZRZeRB8QkrpYAfJvFuILS_a0PcC_8rPTYJ154sQSg=s88-c-k-c0x00ffffff-no-rj</v>
      </c>
      <c r="G353" s="67"/>
      <c r="H353" s="71" t="s">
        <v>2771</v>
      </c>
      <c r="I353" s="72"/>
      <c r="J353" s="72" t="s">
        <v>159</v>
      </c>
      <c r="K353" s="71" t="s">
        <v>2771</v>
      </c>
      <c r="L353" s="75">
        <v>1</v>
      </c>
      <c r="M353" s="76">
        <v>6605.10546875</v>
      </c>
      <c r="N353" s="76">
        <v>7761.26904296875</v>
      </c>
      <c r="O353" s="77"/>
      <c r="P353" s="78"/>
      <c r="Q353" s="78"/>
      <c r="R353" s="90"/>
      <c r="S353" s="49">
        <v>0</v>
      </c>
      <c r="T353" s="49">
        <v>1</v>
      </c>
      <c r="U353" s="50">
        <v>0</v>
      </c>
      <c r="V353" s="50">
        <v>0.209338</v>
      </c>
      <c r="W353" s="51"/>
      <c r="X353" s="51"/>
      <c r="Y353" s="51"/>
      <c r="Z353" s="50"/>
      <c r="AA353" s="73">
        <v>353</v>
      </c>
      <c r="AB353" s="73"/>
      <c r="AC353" s="74"/>
      <c r="AD353" s="81" t="s">
        <v>2771</v>
      </c>
      <c r="AE353" s="81" t="s">
        <v>3176</v>
      </c>
      <c r="AF353" s="81"/>
      <c r="AG353" s="81"/>
      <c r="AH353" s="81"/>
      <c r="AI353" s="81" t="s">
        <v>2005</v>
      </c>
      <c r="AJ353" s="88">
        <v>41590.09885416667</v>
      </c>
      <c r="AK353" s="86" t="str">
        <f>HYPERLINK("https://yt3.ggpht.com/ytc/AIf8zZRZeRB8QkrpYAfJvFuILS_a0PcC_8rPTYJ154sQSg=s88-c-k-c0x00ffffff-no-rj")</f>
        <v>https://yt3.ggpht.com/ytc/AIf8zZRZeRB8QkrpYAfJvFuILS_a0PcC_8rPTYJ154sQSg=s88-c-k-c0x00ffffff-no-rj</v>
      </c>
      <c r="AL353" s="81">
        <v>29460</v>
      </c>
      <c r="AM353" s="81">
        <v>0</v>
      </c>
      <c r="AN353" s="81">
        <v>60</v>
      </c>
      <c r="AO353" s="81" t="b">
        <v>0</v>
      </c>
      <c r="AP353" s="81">
        <v>55</v>
      </c>
      <c r="AQ353" s="81"/>
      <c r="AR353" s="81"/>
      <c r="AS353" s="81" t="s">
        <v>3378</v>
      </c>
      <c r="AT353" s="86" t="str">
        <f>HYPERLINK("https://www.youtube.com/channel/UCxCUd5fdFRrEwVu1zhXko4g")</f>
        <v>https://www.youtube.com/channel/UCxCUd5fdFRrEwVu1zhXko4g</v>
      </c>
      <c r="AU353" s="81" t="str">
        <f>REPLACE(INDEX(GroupVertices[Group],MATCH("~"&amp;Vertices[[#This Row],[Vertex]],GroupVertices[Vertex],0)),1,1,"")</f>
        <v>3</v>
      </c>
      <c r="AV353" s="49"/>
      <c r="AW353" s="49"/>
      <c r="AX353" s="49"/>
      <c r="AY353" s="49"/>
      <c r="AZ353" s="49"/>
      <c r="BA353" s="49"/>
      <c r="BB353" s="117" t="s">
        <v>4011</v>
      </c>
      <c r="BC353" s="117" t="s">
        <v>4011</v>
      </c>
      <c r="BD353" s="117" t="s">
        <v>4701</v>
      </c>
      <c r="BE353" s="117" t="s">
        <v>4701</v>
      </c>
      <c r="BF353" s="2"/>
      <c r="BG353" s="3"/>
      <c r="BH353" s="3"/>
      <c r="BI353" s="3"/>
      <c r="BJ353" s="3"/>
    </row>
    <row r="354" spans="1:62" ht="15">
      <c r="A354" s="66" t="s">
        <v>540</v>
      </c>
      <c r="B354" s="67"/>
      <c r="C354" s="67"/>
      <c r="D354" s="68">
        <v>50</v>
      </c>
      <c r="E354" s="70"/>
      <c r="F354" s="105" t="str">
        <f>HYPERLINK("https://yt3.ggpht.com/BIjODEPnf8eWVNDSz5Sx0FWXkGoOuY3nNCdeNoC9h3Hm7XifuGBVYOVQdAnRg-tF6lJxQAUGnA=s88-c-k-c0x00ffffff-no-rj")</f>
        <v>https://yt3.ggpht.com/BIjODEPnf8eWVNDSz5Sx0FWXkGoOuY3nNCdeNoC9h3Hm7XifuGBVYOVQdAnRg-tF6lJxQAUGnA=s88-c-k-c0x00ffffff-no-rj</v>
      </c>
      <c r="G354" s="67"/>
      <c r="H354" s="71" t="s">
        <v>2772</v>
      </c>
      <c r="I354" s="72"/>
      <c r="J354" s="72" t="s">
        <v>159</v>
      </c>
      <c r="K354" s="71" t="s">
        <v>2772</v>
      </c>
      <c r="L354" s="75">
        <v>1</v>
      </c>
      <c r="M354" s="76">
        <v>6423.60595703125</v>
      </c>
      <c r="N354" s="76">
        <v>6383.73486328125</v>
      </c>
      <c r="O354" s="77"/>
      <c r="P354" s="78"/>
      <c r="Q354" s="78"/>
      <c r="R354" s="90"/>
      <c r="S354" s="49">
        <v>0</v>
      </c>
      <c r="T354" s="49">
        <v>1</v>
      </c>
      <c r="U354" s="50">
        <v>0</v>
      </c>
      <c r="V354" s="50">
        <v>0.209338</v>
      </c>
      <c r="W354" s="51"/>
      <c r="X354" s="51"/>
      <c r="Y354" s="51"/>
      <c r="Z354" s="50"/>
      <c r="AA354" s="73">
        <v>354</v>
      </c>
      <c r="AB354" s="73"/>
      <c r="AC354" s="74"/>
      <c r="AD354" s="81" t="s">
        <v>2772</v>
      </c>
      <c r="AE354" s="81"/>
      <c r="AF354" s="81"/>
      <c r="AG354" s="81"/>
      <c r="AH354" s="81"/>
      <c r="AI354" s="81" t="s">
        <v>2006</v>
      </c>
      <c r="AJ354" s="88">
        <v>44743.93337962963</v>
      </c>
      <c r="AK354" s="86" t="str">
        <f>HYPERLINK("https://yt3.ggpht.com/BIjODEPnf8eWVNDSz5Sx0FWXkGoOuY3nNCdeNoC9h3Hm7XifuGBVYOVQdAnRg-tF6lJxQAUGnA=s88-c-k-c0x00ffffff-no-rj")</f>
        <v>https://yt3.ggpht.com/BIjODEPnf8eWVNDSz5Sx0FWXkGoOuY3nNCdeNoC9h3Hm7XifuGBVYOVQdAnRg-tF6lJxQAUGnA=s88-c-k-c0x00ffffff-no-rj</v>
      </c>
      <c r="AL354" s="81">
        <v>1</v>
      </c>
      <c r="AM354" s="81">
        <v>0</v>
      </c>
      <c r="AN354" s="81">
        <v>0</v>
      </c>
      <c r="AO354" s="81" t="b">
        <v>0</v>
      </c>
      <c r="AP354" s="81">
        <v>1</v>
      </c>
      <c r="AQ354" s="81"/>
      <c r="AR354" s="81"/>
      <c r="AS354" s="81" t="s">
        <v>3378</v>
      </c>
      <c r="AT354" s="86" t="str">
        <f>HYPERLINK("https://www.youtube.com/channel/UCetkfsaTdd_kc_OIWgZgi-w")</f>
        <v>https://www.youtube.com/channel/UCetkfsaTdd_kc_OIWgZgi-w</v>
      </c>
      <c r="AU354" s="81" t="str">
        <f>REPLACE(INDEX(GroupVertices[Group],MATCH("~"&amp;Vertices[[#This Row],[Vertex]],GroupVertices[Vertex],0)),1,1,"")</f>
        <v>3</v>
      </c>
      <c r="AV354" s="49"/>
      <c r="AW354" s="49"/>
      <c r="AX354" s="49"/>
      <c r="AY354" s="49"/>
      <c r="AZ354" s="49"/>
      <c r="BA354" s="49"/>
      <c r="BB354" s="117" t="s">
        <v>4012</v>
      </c>
      <c r="BC354" s="117" t="s">
        <v>4012</v>
      </c>
      <c r="BD354" s="117" t="s">
        <v>4702</v>
      </c>
      <c r="BE354" s="117" t="s">
        <v>4702</v>
      </c>
      <c r="BF354" s="2"/>
      <c r="BG354" s="3"/>
      <c r="BH354" s="3"/>
      <c r="BI354" s="3"/>
      <c r="BJ354" s="3"/>
    </row>
    <row r="355" spans="1:62" ht="15">
      <c r="A355" s="66" t="s">
        <v>541</v>
      </c>
      <c r="B355" s="67"/>
      <c r="C355" s="67"/>
      <c r="D355" s="68">
        <v>50</v>
      </c>
      <c r="E355" s="70"/>
      <c r="F355" s="105" t="str">
        <f>HYPERLINK("https://yt3.ggpht.com/ytc/AIf8zZSRr67dipBtXzFlrE99mi6Zq6fyXiwxLt2G1lsOgmUzTKr8UwVWHHRJ_lkiBREy=s88-c-k-c0x00ffffff-no-rj")</f>
        <v>https://yt3.ggpht.com/ytc/AIf8zZSRr67dipBtXzFlrE99mi6Zq6fyXiwxLt2G1lsOgmUzTKr8UwVWHHRJ_lkiBREy=s88-c-k-c0x00ffffff-no-rj</v>
      </c>
      <c r="G355" s="67"/>
      <c r="H355" s="71" t="s">
        <v>2773</v>
      </c>
      <c r="I355" s="72"/>
      <c r="J355" s="72" t="s">
        <v>159</v>
      </c>
      <c r="K355" s="71" t="s">
        <v>2773</v>
      </c>
      <c r="L355" s="75">
        <v>1</v>
      </c>
      <c r="M355" s="76">
        <v>4194.0380859375</v>
      </c>
      <c r="N355" s="76">
        <v>7603.1015625</v>
      </c>
      <c r="O355" s="77"/>
      <c r="P355" s="78"/>
      <c r="Q355" s="78"/>
      <c r="R355" s="90"/>
      <c r="S355" s="49">
        <v>0</v>
      </c>
      <c r="T355" s="49">
        <v>1</v>
      </c>
      <c r="U355" s="50">
        <v>0</v>
      </c>
      <c r="V355" s="50">
        <v>0.209338</v>
      </c>
      <c r="W355" s="51"/>
      <c r="X355" s="51"/>
      <c r="Y355" s="51"/>
      <c r="Z355" s="50"/>
      <c r="AA355" s="73">
        <v>355</v>
      </c>
      <c r="AB355" s="73"/>
      <c r="AC355" s="74"/>
      <c r="AD355" s="81" t="s">
        <v>2773</v>
      </c>
      <c r="AE355" s="81"/>
      <c r="AF355" s="81"/>
      <c r="AG355" s="81"/>
      <c r="AH355" s="81"/>
      <c r="AI355" s="81" t="s">
        <v>2007</v>
      </c>
      <c r="AJ355" s="88">
        <v>44832.80137731481</v>
      </c>
      <c r="AK355" s="86" t="str">
        <f>HYPERLINK("https://yt3.ggpht.com/ytc/AIf8zZSRr67dipBtXzFlrE99mi6Zq6fyXiwxLt2G1lsOgmUzTKr8UwVWHHRJ_lkiBREy=s88-c-k-c0x00ffffff-no-rj")</f>
        <v>https://yt3.ggpht.com/ytc/AIf8zZSRr67dipBtXzFlrE99mi6Zq6fyXiwxLt2G1lsOgmUzTKr8UwVWHHRJ_lkiBREy=s88-c-k-c0x00ffffff-no-rj</v>
      </c>
      <c r="AL355" s="81">
        <v>0</v>
      </c>
      <c r="AM355" s="81">
        <v>0</v>
      </c>
      <c r="AN355" s="81">
        <v>0</v>
      </c>
      <c r="AO355" s="81" t="b">
        <v>0</v>
      </c>
      <c r="AP355" s="81">
        <v>0</v>
      </c>
      <c r="AQ355" s="81"/>
      <c r="AR355" s="81"/>
      <c r="AS355" s="81" t="s">
        <v>3378</v>
      </c>
      <c r="AT355" s="86" t="str">
        <f>HYPERLINK("https://www.youtube.com/channel/UCk2ofMoMFyrWG7Ptx0yUwqA")</f>
        <v>https://www.youtube.com/channel/UCk2ofMoMFyrWG7Ptx0yUwqA</v>
      </c>
      <c r="AU355" s="81" t="str">
        <f>REPLACE(INDEX(GroupVertices[Group],MATCH("~"&amp;Vertices[[#This Row],[Vertex]],GroupVertices[Vertex],0)),1,1,"")</f>
        <v>3</v>
      </c>
      <c r="AV355" s="49"/>
      <c r="AW355" s="49"/>
      <c r="AX355" s="49"/>
      <c r="AY355" s="49"/>
      <c r="AZ355" s="49"/>
      <c r="BA355" s="49"/>
      <c r="BB355" s="117" t="s">
        <v>4013</v>
      </c>
      <c r="BC355" s="117" t="s">
        <v>4013</v>
      </c>
      <c r="BD355" s="117" t="s">
        <v>4703</v>
      </c>
      <c r="BE355" s="117" t="s">
        <v>4703</v>
      </c>
      <c r="BF355" s="2"/>
      <c r="BG355" s="3"/>
      <c r="BH355" s="3"/>
      <c r="BI355" s="3"/>
      <c r="BJ355" s="3"/>
    </row>
    <row r="356" spans="1:62" ht="15">
      <c r="A356" s="66" t="s">
        <v>542</v>
      </c>
      <c r="B356" s="67"/>
      <c r="C356" s="67"/>
      <c r="D356" s="68">
        <v>50</v>
      </c>
      <c r="E356" s="70"/>
      <c r="F356" s="105" t="str">
        <f>HYPERLINK("https://yt3.ggpht.com/ytc/AIf8zZQ5-UGCIeF59Sa6zHWMQCugQ_cwmQsOHO2_xA=s88-c-k-c0x00ffffff-no-rj")</f>
        <v>https://yt3.ggpht.com/ytc/AIf8zZQ5-UGCIeF59Sa6zHWMQCugQ_cwmQsOHO2_xA=s88-c-k-c0x00ffffff-no-rj</v>
      </c>
      <c r="G356" s="67"/>
      <c r="H356" s="71" t="s">
        <v>2774</v>
      </c>
      <c r="I356" s="72"/>
      <c r="J356" s="72" t="s">
        <v>159</v>
      </c>
      <c r="K356" s="71" t="s">
        <v>2774</v>
      </c>
      <c r="L356" s="75">
        <v>1</v>
      </c>
      <c r="M356" s="76">
        <v>3862.96630859375</v>
      </c>
      <c r="N356" s="76">
        <v>8103.8349609375</v>
      </c>
      <c r="O356" s="77"/>
      <c r="P356" s="78"/>
      <c r="Q356" s="78"/>
      <c r="R356" s="90"/>
      <c r="S356" s="49">
        <v>0</v>
      </c>
      <c r="T356" s="49">
        <v>1</v>
      </c>
      <c r="U356" s="50">
        <v>0</v>
      </c>
      <c r="V356" s="50">
        <v>0.209338</v>
      </c>
      <c r="W356" s="51"/>
      <c r="X356" s="51"/>
      <c r="Y356" s="51"/>
      <c r="Z356" s="50"/>
      <c r="AA356" s="73">
        <v>356</v>
      </c>
      <c r="AB356" s="73"/>
      <c r="AC356" s="74"/>
      <c r="AD356" s="81" t="s">
        <v>2774</v>
      </c>
      <c r="AE356" s="81"/>
      <c r="AF356" s="81"/>
      <c r="AG356" s="81"/>
      <c r="AH356" s="81"/>
      <c r="AI356" s="81" t="s">
        <v>2008</v>
      </c>
      <c r="AJ356" s="88">
        <v>39469.28434027778</v>
      </c>
      <c r="AK356" s="86" t="str">
        <f>HYPERLINK("https://yt3.ggpht.com/ytc/AIf8zZQ5-UGCIeF59Sa6zHWMQCugQ_cwmQsOHO2_xA=s88-c-k-c0x00ffffff-no-rj")</f>
        <v>https://yt3.ggpht.com/ytc/AIf8zZQ5-UGCIeF59Sa6zHWMQCugQ_cwmQsOHO2_xA=s88-c-k-c0x00ffffff-no-rj</v>
      </c>
      <c r="AL356" s="81">
        <v>0</v>
      </c>
      <c r="AM356" s="81">
        <v>0</v>
      </c>
      <c r="AN356" s="81">
        <v>0</v>
      </c>
      <c r="AO356" s="81" t="b">
        <v>0</v>
      </c>
      <c r="AP356" s="81">
        <v>0</v>
      </c>
      <c r="AQ356" s="81"/>
      <c r="AR356" s="81"/>
      <c r="AS356" s="81" t="s">
        <v>3378</v>
      </c>
      <c r="AT356" s="86" t="str">
        <f>HYPERLINK("https://www.youtube.com/channel/UCt70dbIi4pjz4rps4GzhXfw")</f>
        <v>https://www.youtube.com/channel/UCt70dbIi4pjz4rps4GzhXfw</v>
      </c>
      <c r="AU356" s="81" t="str">
        <f>REPLACE(INDEX(GroupVertices[Group],MATCH("~"&amp;Vertices[[#This Row],[Vertex]],GroupVertices[Vertex],0)),1,1,"")</f>
        <v>3</v>
      </c>
      <c r="AV356" s="49" t="s">
        <v>3451</v>
      </c>
      <c r="AW356" s="49" t="s">
        <v>3451</v>
      </c>
      <c r="AX356" s="49" t="s">
        <v>3523</v>
      </c>
      <c r="AY356" s="49" t="s">
        <v>3523</v>
      </c>
      <c r="AZ356" s="49"/>
      <c r="BA356" s="49"/>
      <c r="BB356" s="117" t="s">
        <v>4014</v>
      </c>
      <c r="BC356" s="117" t="s">
        <v>4014</v>
      </c>
      <c r="BD356" s="117" t="s">
        <v>4704</v>
      </c>
      <c r="BE356" s="117" t="s">
        <v>4704</v>
      </c>
      <c r="BF356" s="2"/>
      <c r="BG356" s="3"/>
      <c r="BH356" s="3"/>
      <c r="BI356" s="3"/>
      <c r="BJ356" s="3"/>
    </row>
    <row r="357" spans="1:62" ht="15">
      <c r="A357" s="66" t="s">
        <v>543</v>
      </c>
      <c r="B357" s="67"/>
      <c r="C357" s="67"/>
      <c r="D357" s="68">
        <v>50</v>
      </c>
      <c r="E357" s="70"/>
      <c r="F357" s="105" t="str">
        <f>HYPERLINK("https://yt3.ggpht.com/ytc/AIf8zZR5Yfr_We7rJ5Jz9kxmOJ0HToaC8pFWW4tg2PJ7wA=s88-c-k-c0x00ffffff-no-rj")</f>
        <v>https://yt3.ggpht.com/ytc/AIf8zZR5Yfr_We7rJ5Jz9kxmOJ0HToaC8pFWW4tg2PJ7wA=s88-c-k-c0x00ffffff-no-rj</v>
      </c>
      <c r="G357" s="67"/>
      <c r="H357" s="71" t="s">
        <v>2775</v>
      </c>
      <c r="I357" s="72"/>
      <c r="J357" s="72" t="s">
        <v>159</v>
      </c>
      <c r="K357" s="71" t="s">
        <v>2775</v>
      </c>
      <c r="L357" s="75">
        <v>1</v>
      </c>
      <c r="M357" s="76">
        <v>6129.9638671875</v>
      </c>
      <c r="N357" s="76">
        <v>9190.5048828125</v>
      </c>
      <c r="O357" s="77"/>
      <c r="P357" s="78"/>
      <c r="Q357" s="78"/>
      <c r="R357" s="90"/>
      <c r="S357" s="49">
        <v>0</v>
      </c>
      <c r="T357" s="49">
        <v>1</v>
      </c>
      <c r="U357" s="50">
        <v>0</v>
      </c>
      <c r="V357" s="50">
        <v>0.209338</v>
      </c>
      <c r="W357" s="51"/>
      <c r="X357" s="51"/>
      <c r="Y357" s="51"/>
      <c r="Z357" s="50"/>
      <c r="AA357" s="73">
        <v>357</v>
      </c>
      <c r="AB357" s="73"/>
      <c r="AC357" s="74"/>
      <c r="AD357" s="81" t="s">
        <v>2775</v>
      </c>
      <c r="AE357" s="81"/>
      <c r="AF357" s="81"/>
      <c r="AG357" s="81"/>
      <c r="AH357" s="81"/>
      <c r="AI357" s="81" t="s">
        <v>2009</v>
      </c>
      <c r="AJ357" s="88">
        <v>41606.97659722222</v>
      </c>
      <c r="AK357" s="86" t="str">
        <f>HYPERLINK("https://yt3.ggpht.com/ytc/AIf8zZR5Yfr_We7rJ5Jz9kxmOJ0HToaC8pFWW4tg2PJ7wA=s88-c-k-c0x00ffffff-no-rj")</f>
        <v>https://yt3.ggpht.com/ytc/AIf8zZR5Yfr_We7rJ5Jz9kxmOJ0HToaC8pFWW4tg2PJ7wA=s88-c-k-c0x00ffffff-no-rj</v>
      </c>
      <c r="AL357" s="81">
        <v>0</v>
      </c>
      <c r="AM357" s="81">
        <v>0</v>
      </c>
      <c r="AN357" s="81">
        <v>0</v>
      </c>
      <c r="AO357" s="81" t="b">
        <v>0</v>
      </c>
      <c r="AP357" s="81">
        <v>0</v>
      </c>
      <c r="AQ357" s="81"/>
      <c r="AR357" s="81"/>
      <c r="AS357" s="81" t="s">
        <v>3378</v>
      </c>
      <c r="AT357" s="86" t="str">
        <f>HYPERLINK("https://www.youtube.com/channel/UCDmWmsLkzHNkRyXpF1G_wKg")</f>
        <v>https://www.youtube.com/channel/UCDmWmsLkzHNkRyXpF1G_wKg</v>
      </c>
      <c r="AU357" s="81" t="str">
        <f>REPLACE(INDEX(GroupVertices[Group],MATCH("~"&amp;Vertices[[#This Row],[Vertex]],GroupVertices[Vertex],0)),1,1,"")</f>
        <v>3</v>
      </c>
      <c r="AV357" s="49"/>
      <c r="AW357" s="49"/>
      <c r="AX357" s="49"/>
      <c r="AY357" s="49"/>
      <c r="AZ357" s="49"/>
      <c r="BA357" s="49"/>
      <c r="BB357" s="117" t="s">
        <v>4015</v>
      </c>
      <c r="BC357" s="117" t="s">
        <v>4015</v>
      </c>
      <c r="BD357" s="117" t="s">
        <v>4705</v>
      </c>
      <c r="BE357" s="117" t="s">
        <v>4705</v>
      </c>
      <c r="BF357" s="2"/>
      <c r="BG357" s="3"/>
      <c r="BH357" s="3"/>
      <c r="BI357" s="3"/>
      <c r="BJ357" s="3"/>
    </row>
    <row r="358" spans="1:62" ht="15">
      <c r="A358" s="66" t="s">
        <v>544</v>
      </c>
      <c r="B358" s="67"/>
      <c r="C358" s="67"/>
      <c r="D358" s="68">
        <v>50</v>
      </c>
      <c r="E358" s="70"/>
      <c r="F358" s="105" t="str">
        <f>HYPERLINK("https://yt3.ggpht.com/ytc/AIf8zZTjHeB02C9ylOaXMw-nKykFGpBHCvzur2DTf87Y=s88-c-k-c0x00ffffff-no-rj")</f>
        <v>https://yt3.ggpht.com/ytc/AIf8zZTjHeB02C9ylOaXMw-nKykFGpBHCvzur2DTf87Y=s88-c-k-c0x00ffffff-no-rj</v>
      </c>
      <c r="G358" s="67"/>
      <c r="H358" s="71" t="s">
        <v>2776</v>
      </c>
      <c r="I358" s="72"/>
      <c r="J358" s="72" t="s">
        <v>159</v>
      </c>
      <c r="K358" s="71" t="s">
        <v>2776</v>
      </c>
      <c r="L358" s="75">
        <v>1</v>
      </c>
      <c r="M358" s="76">
        <v>6494.63232421875</v>
      </c>
      <c r="N358" s="76">
        <v>9122.2099609375</v>
      </c>
      <c r="O358" s="77"/>
      <c r="P358" s="78"/>
      <c r="Q358" s="78"/>
      <c r="R358" s="90"/>
      <c r="S358" s="49">
        <v>0</v>
      </c>
      <c r="T358" s="49">
        <v>1</v>
      </c>
      <c r="U358" s="50">
        <v>0</v>
      </c>
      <c r="V358" s="50">
        <v>0.209338</v>
      </c>
      <c r="W358" s="51"/>
      <c r="X358" s="51"/>
      <c r="Y358" s="51"/>
      <c r="Z358" s="50"/>
      <c r="AA358" s="73">
        <v>358</v>
      </c>
      <c r="AB358" s="73"/>
      <c r="AC358" s="74"/>
      <c r="AD358" s="81" t="s">
        <v>2776</v>
      </c>
      <c r="AE358" s="81"/>
      <c r="AF358" s="81"/>
      <c r="AG358" s="81"/>
      <c r="AH358" s="81"/>
      <c r="AI358" s="81" t="s">
        <v>3302</v>
      </c>
      <c r="AJ358" s="88">
        <v>40180.39528935185</v>
      </c>
      <c r="AK358" s="86" t="str">
        <f>HYPERLINK("https://yt3.ggpht.com/ytc/AIf8zZTjHeB02C9ylOaXMw-nKykFGpBHCvzur2DTf87Y=s88-c-k-c0x00ffffff-no-rj")</f>
        <v>https://yt3.ggpht.com/ytc/AIf8zZTjHeB02C9ylOaXMw-nKykFGpBHCvzur2DTf87Y=s88-c-k-c0x00ffffff-no-rj</v>
      </c>
      <c r="AL358" s="81">
        <v>0</v>
      </c>
      <c r="AM358" s="81">
        <v>0</v>
      </c>
      <c r="AN358" s="81">
        <v>0</v>
      </c>
      <c r="AO358" s="81" t="b">
        <v>0</v>
      </c>
      <c r="AP358" s="81">
        <v>0</v>
      </c>
      <c r="AQ358" s="81"/>
      <c r="AR358" s="81"/>
      <c r="AS358" s="81" t="s">
        <v>3378</v>
      </c>
      <c r="AT358" s="86" t="str">
        <f>HYPERLINK("https://www.youtube.com/channel/UCMBjST-WDzXZ2nb5rRtbxjw")</f>
        <v>https://www.youtube.com/channel/UCMBjST-WDzXZ2nb5rRtbxjw</v>
      </c>
      <c r="AU358" s="81" t="str">
        <f>REPLACE(INDEX(GroupVertices[Group],MATCH("~"&amp;Vertices[[#This Row],[Vertex]],GroupVertices[Vertex],0)),1,1,"")</f>
        <v>3</v>
      </c>
      <c r="AV358" s="49"/>
      <c r="AW358" s="49"/>
      <c r="AX358" s="49"/>
      <c r="AY358" s="49"/>
      <c r="AZ358" s="49"/>
      <c r="BA358" s="49"/>
      <c r="BB358" s="117" t="s">
        <v>4016</v>
      </c>
      <c r="BC358" s="117" t="s">
        <v>4016</v>
      </c>
      <c r="BD358" s="117" t="s">
        <v>4706</v>
      </c>
      <c r="BE358" s="117" t="s">
        <v>4706</v>
      </c>
      <c r="BF358" s="2"/>
      <c r="BG358" s="3"/>
      <c r="BH358" s="3"/>
      <c r="BI358" s="3"/>
      <c r="BJ358" s="3"/>
    </row>
    <row r="359" spans="1:62" ht="15">
      <c r="A359" s="66" t="s">
        <v>545</v>
      </c>
      <c r="B359" s="67"/>
      <c r="C359" s="67"/>
      <c r="D359" s="68">
        <v>50</v>
      </c>
      <c r="E359" s="70"/>
      <c r="F359" s="105" t="str">
        <f>HYPERLINK("https://yt3.ggpht.com/ytc/AIf8zZQbtuiaasvuIACy5SqsrqtPKK0AgV57ZQ2SwA=s88-c-k-c0x00ffffff-no-rj")</f>
        <v>https://yt3.ggpht.com/ytc/AIf8zZQbtuiaasvuIACy5SqsrqtPKK0AgV57ZQ2SwA=s88-c-k-c0x00ffffff-no-rj</v>
      </c>
      <c r="G359" s="67"/>
      <c r="H359" s="71" t="s">
        <v>2777</v>
      </c>
      <c r="I359" s="72"/>
      <c r="J359" s="72" t="s">
        <v>159</v>
      </c>
      <c r="K359" s="71" t="s">
        <v>2777</v>
      </c>
      <c r="L359" s="75">
        <v>1</v>
      </c>
      <c r="M359" s="76">
        <v>3908.8427734375</v>
      </c>
      <c r="N359" s="76">
        <v>8400.2529296875</v>
      </c>
      <c r="O359" s="77"/>
      <c r="P359" s="78"/>
      <c r="Q359" s="78"/>
      <c r="R359" s="90"/>
      <c r="S359" s="49">
        <v>0</v>
      </c>
      <c r="T359" s="49">
        <v>1</v>
      </c>
      <c r="U359" s="50">
        <v>0</v>
      </c>
      <c r="V359" s="50">
        <v>0.209338</v>
      </c>
      <c r="W359" s="51"/>
      <c r="X359" s="51"/>
      <c r="Y359" s="51"/>
      <c r="Z359" s="50"/>
      <c r="AA359" s="73">
        <v>359</v>
      </c>
      <c r="AB359" s="73"/>
      <c r="AC359" s="74"/>
      <c r="AD359" s="81" t="s">
        <v>2777</v>
      </c>
      <c r="AE359" s="81"/>
      <c r="AF359" s="81"/>
      <c r="AG359" s="81"/>
      <c r="AH359" s="81"/>
      <c r="AI359" s="81" t="s">
        <v>2011</v>
      </c>
      <c r="AJ359" s="88">
        <v>43779.97770833333</v>
      </c>
      <c r="AK359" s="86" t="str">
        <f>HYPERLINK("https://yt3.ggpht.com/ytc/AIf8zZQbtuiaasvuIACy5SqsrqtPKK0AgV57ZQ2SwA=s88-c-k-c0x00ffffff-no-rj")</f>
        <v>https://yt3.ggpht.com/ytc/AIf8zZQbtuiaasvuIACy5SqsrqtPKK0AgV57ZQ2SwA=s88-c-k-c0x00ffffff-no-rj</v>
      </c>
      <c r="AL359" s="81">
        <v>0</v>
      </c>
      <c r="AM359" s="81">
        <v>0</v>
      </c>
      <c r="AN359" s="81">
        <v>0</v>
      </c>
      <c r="AO359" s="81" t="b">
        <v>0</v>
      </c>
      <c r="AP359" s="81">
        <v>0</v>
      </c>
      <c r="AQ359" s="81"/>
      <c r="AR359" s="81"/>
      <c r="AS359" s="81" t="s">
        <v>3378</v>
      </c>
      <c r="AT359" s="86" t="str">
        <f>HYPERLINK("https://www.youtube.com/channel/UCEy1eBC1Y-svoyQmPhTFyYg")</f>
        <v>https://www.youtube.com/channel/UCEy1eBC1Y-svoyQmPhTFyYg</v>
      </c>
      <c r="AU359" s="81" t="str">
        <f>REPLACE(INDEX(GroupVertices[Group],MATCH("~"&amp;Vertices[[#This Row],[Vertex]],GroupVertices[Vertex],0)),1,1,"")</f>
        <v>3</v>
      </c>
      <c r="AV359" s="49"/>
      <c r="AW359" s="49"/>
      <c r="AX359" s="49"/>
      <c r="AY359" s="49"/>
      <c r="AZ359" s="49"/>
      <c r="BA359" s="49"/>
      <c r="BB359" s="117" t="s">
        <v>4017</v>
      </c>
      <c r="BC359" s="117" t="s">
        <v>4017</v>
      </c>
      <c r="BD359" s="117" t="s">
        <v>4707</v>
      </c>
      <c r="BE359" s="117" t="s">
        <v>4707</v>
      </c>
      <c r="BF359" s="2"/>
      <c r="BG359" s="3"/>
      <c r="BH359" s="3"/>
      <c r="BI359" s="3"/>
      <c r="BJ359" s="3"/>
    </row>
    <row r="360" spans="1:62" ht="15">
      <c r="A360" s="66" t="s">
        <v>546</v>
      </c>
      <c r="B360" s="67"/>
      <c r="C360" s="67"/>
      <c r="D360" s="68">
        <v>50</v>
      </c>
      <c r="E360" s="70"/>
      <c r="F360" s="105" t="str">
        <f>HYPERLINK("https://yt3.ggpht.com/ytc/AIf8zZSs3M4DC9OyYtBnOfp9NXJ980sUg2e0mTYuZw=s88-c-k-c0x00ffffff-no-rj")</f>
        <v>https://yt3.ggpht.com/ytc/AIf8zZSs3M4DC9OyYtBnOfp9NXJ980sUg2e0mTYuZw=s88-c-k-c0x00ffffff-no-rj</v>
      </c>
      <c r="G360" s="67"/>
      <c r="H360" s="71" t="s">
        <v>2778</v>
      </c>
      <c r="I360" s="72"/>
      <c r="J360" s="72" t="s">
        <v>159</v>
      </c>
      <c r="K360" s="71" t="s">
        <v>2778</v>
      </c>
      <c r="L360" s="75">
        <v>1</v>
      </c>
      <c r="M360" s="76">
        <v>6431.814453125</v>
      </c>
      <c r="N360" s="76">
        <v>6907.498046875</v>
      </c>
      <c r="O360" s="77"/>
      <c r="P360" s="78"/>
      <c r="Q360" s="78"/>
      <c r="R360" s="90"/>
      <c r="S360" s="49">
        <v>0</v>
      </c>
      <c r="T360" s="49">
        <v>1</v>
      </c>
      <c r="U360" s="50">
        <v>0</v>
      </c>
      <c r="V360" s="50">
        <v>0.209338</v>
      </c>
      <c r="W360" s="51"/>
      <c r="X360" s="51"/>
      <c r="Y360" s="51"/>
      <c r="Z360" s="50"/>
      <c r="AA360" s="73">
        <v>360</v>
      </c>
      <c r="AB360" s="73"/>
      <c r="AC360" s="74"/>
      <c r="AD360" s="81" t="s">
        <v>2778</v>
      </c>
      <c r="AE360" s="81"/>
      <c r="AF360" s="81"/>
      <c r="AG360" s="81"/>
      <c r="AH360" s="81"/>
      <c r="AI360" s="81" t="s">
        <v>2012</v>
      </c>
      <c r="AJ360" s="88">
        <v>40591.54987268519</v>
      </c>
      <c r="AK360" s="86" t="str">
        <f>HYPERLINK("https://yt3.ggpht.com/ytc/AIf8zZSs3M4DC9OyYtBnOfp9NXJ980sUg2e0mTYuZw=s88-c-k-c0x00ffffff-no-rj")</f>
        <v>https://yt3.ggpht.com/ytc/AIf8zZSs3M4DC9OyYtBnOfp9NXJ980sUg2e0mTYuZw=s88-c-k-c0x00ffffff-no-rj</v>
      </c>
      <c r="AL360" s="81">
        <v>24</v>
      </c>
      <c r="AM360" s="81">
        <v>0</v>
      </c>
      <c r="AN360" s="81">
        <v>2</v>
      </c>
      <c r="AO360" s="81" t="b">
        <v>0</v>
      </c>
      <c r="AP360" s="81">
        <v>1</v>
      </c>
      <c r="AQ360" s="81"/>
      <c r="AR360" s="81"/>
      <c r="AS360" s="81" t="s">
        <v>3378</v>
      </c>
      <c r="AT360" s="86" t="str">
        <f>HYPERLINK("https://www.youtube.com/channel/UCE-X03N-Fx5V-CIuJmY_-ig")</f>
        <v>https://www.youtube.com/channel/UCE-X03N-Fx5V-CIuJmY_-ig</v>
      </c>
      <c r="AU360" s="81" t="str">
        <f>REPLACE(INDEX(GroupVertices[Group],MATCH("~"&amp;Vertices[[#This Row],[Vertex]],GroupVertices[Vertex],0)),1,1,"")</f>
        <v>3</v>
      </c>
      <c r="AV360" s="49"/>
      <c r="AW360" s="49"/>
      <c r="AX360" s="49"/>
      <c r="AY360" s="49"/>
      <c r="AZ360" s="49"/>
      <c r="BA360" s="49"/>
      <c r="BB360" s="117" t="s">
        <v>4018</v>
      </c>
      <c r="BC360" s="117" t="s">
        <v>4018</v>
      </c>
      <c r="BD360" s="117" t="s">
        <v>4708</v>
      </c>
      <c r="BE360" s="117" t="s">
        <v>4708</v>
      </c>
      <c r="BF360" s="2"/>
      <c r="BG360" s="3"/>
      <c r="BH360" s="3"/>
      <c r="BI360" s="3"/>
      <c r="BJ360" s="3"/>
    </row>
    <row r="361" spans="1:62" ht="15">
      <c r="A361" s="66" t="s">
        <v>547</v>
      </c>
      <c r="B361" s="67"/>
      <c r="C361" s="67"/>
      <c r="D361" s="68">
        <v>50</v>
      </c>
      <c r="E361" s="70"/>
      <c r="F361" s="105" t="str">
        <f>HYPERLINK("https://yt3.ggpht.com/ytc/AIf8zZTRr4JZ-g9PFxMkrH5M1x-reF7SWJLooGUWKUdaook=s88-c-k-c0x00ffffff-no-rj")</f>
        <v>https://yt3.ggpht.com/ytc/AIf8zZTRr4JZ-g9PFxMkrH5M1x-reF7SWJLooGUWKUdaook=s88-c-k-c0x00ffffff-no-rj</v>
      </c>
      <c r="G361" s="67"/>
      <c r="H361" s="71" t="s">
        <v>2779</v>
      </c>
      <c r="I361" s="72"/>
      <c r="J361" s="72" t="s">
        <v>159</v>
      </c>
      <c r="K361" s="71" t="s">
        <v>2779</v>
      </c>
      <c r="L361" s="75">
        <v>1</v>
      </c>
      <c r="M361" s="76">
        <v>6601.49462890625</v>
      </c>
      <c r="N361" s="76">
        <v>7297.21337890625</v>
      </c>
      <c r="O361" s="77"/>
      <c r="P361" s="78"/>
      <c r="Q361" s="78"/>
      <c r="R361" s="90"/>
      <c r="S361" s="49">
        <v>0</v>
      </c>
      <c r="T361" s="49">
        <v>1</v>
      </c>
      <c r="U361" s="50">
        <v>0</v>
      </c>
      <c r="V361" s="50">
        <v>0.209338</v>
      </c>
      <c r="W361" s="51"/>
      <c r="X361" s="51"/>
      <c r="Y361" s="51"/>
      <c r="Z361" s="50"/>
      <c r="AA361" s="73">
        <v>361</v>
      </c>
      <c r="AB361" s="73"/>
      <c r="AC361" s="74"/>
      <c r="AD361" s="81" t="s">
        <v>2779</v>
      </c>
      <c r="AE361" s="81"/>
      <c r="AF361" s="81"/>
      <c r="AG361" s="81"/>
      <c r="AH361" s="81"/>
      <c r="AI361" s="81" t="s">
        <v>2013</v>
      </c>
      <c r="AJ361" s="88">
        <v>40013.170381944445</v>
      </c>
      <c r="AK361" s="86" t="str">
        <f>HYPERLINK("https://yt3.ggpht.com/ytc/AIf8zZTRr4JZ-g9PFxMkrH5M1x-reF7SWJLooGUWKUdaook=s88-c-k-c0x00ffffff-no-rj")</f>
        <v>https://yt3.ggpht.com/ytc/AIf8zZTRr4JZ-g9PFxMkrH5M1x-reF7SWJLooGUWKUdaook=s88-c-k-c0x00ffffff-no-rj</v>
      </c>
      <c r="AL361" s="81">
        <v>106</v>
      </c>
      <c r="AM361" s="81">
        <v>0</v>
      </c>
      <c r="AN361" s="81">
        <v>5</v>
      </c>
      <c r="AO361" s="81" t="b">
        <v>0</v>
      </c>
      <c r="AP361" s="81">
        <v>4</v>
      </c>
      <c r="AQ361" s="81"/>
      <c r="AR361" s="81"/>
      <c r="AS361" s="81" t="s">
        <v>3378</v>
      </c>
      <c r="AT361" s="86" t="str">
        <f>HYPERLINK("https://www.youtube.com/channel/UCb79xVKqalOL8G2gYwACW_Q")</f>
        <v>https://www.youtube.com/channel/UCb79xVKqalOL8G2gYwACW_Q</v>
      </c>
      <c r="AU361" s="81" t="str">
        <f>REPLACE(INDEX(GroupVertices[Group],MATCH("~"&amp;Vertices[[#This Row],[Vertex]],GroupVertices[Vertex],0)),1,1,"")</f>
        <v>3</v>
      </c>
      <c r="AV361" s="49"/>
      <c r="AW361" s="49"/>
      <c r="AX361" s="49"/>
      <c r="AY361" s="49"/>
      <c r="AZ361" s="49"/>
      <c r="BA361" s="49"/>
      <c r="BB361" s="117" t="s">
        <v>4019</v>
      </c>
      <c r="BC361" s="117" t="s">
        <v>4019</v>
      </c>
      <c r="BD361" s="117" t="s">
        <v>4709</v>
      </c>
      <c r="BE361" s="117" t="s">
        <v>4709</v>
      </c>
      <c r="BF361" s="2"/>
      <c r="BG361" s="3"/>
      <c r="BH361" s="3"/>
      <c r="BI361" s="3"/>
      <c r="BJ361" s="3"/>
    </row>
    <row r="362" spans="1:62" ht="15">
      <c r="A362" s="66" t="s">
        <v>548</v>
      </c>
      <c r="B362" s="67"/>
      <c r="C362" s="67"/>
      <c r="D362" s="68">
        <v>50</v>
      </c>
      <c r="E362" s="70"/>
      <c r="F362" s="105" t="str">
        <f>HYPERLINK("https://yt3.ggpht.com/ytc/AIf8zZSXslqPH10FejtScwVF4EvXMz_FUjjucfPz5A=s88-c-k-c0x00ffffff-no-rj")</f>
        <v>https://yt3.ggpht.com/ytc/AIf8zZSXslqPH10FejtScwVF4EvXMz_FUjjucfPz5A=s88-c-k-c0x00ffffff-no-rj</v>
      </c>
      <c r="G362" s="67"/>
      <c r="H362" s="71" t="s">
        <v>2780</v>
      </c>
      <c r="I362" s="72"/>
      <c r="J362" s="72" t="s">
        <v>159</v>
      </c>
      <c r="K362" s="71" t="s">
        <v>2780</v>
      </c>
      <c r="L362" s="75">
        <v>1</v>
      </c>
      <c r="M362" s="76">
        <v>6261.61962890625</v>
      </c>
      <c r="N362" s="76">
        <v>8797.2373046875</v>
      </c>
      <c r="O362" s="77"/>
      <c r="P362" s="78"/>
      <c r="Q362" s="78"/>
      <c r="R362" s="90"/>
      <c r="S362" s="49">
        <v>0</v>
      </c>
      <c r="T362" s="49">
        <v>1</v>
      </c>
      <c r="U362" s="50">
        <v>0</v>
      </c>
      <c r="V362" s="50">
        <v>0.209338</v>
      </c>
      <c r="W362" s="51"/>
      <c r="X362" s="51"/>
      <c r="Y362" s="51"/>
      <c r="Z362" s="50"/>
      <c r="AA362" s="73">
        <v>362</v>
      </c>
      <c r="AB362" s="73"/>
      <c r="AC362" s="74"/>
      <c r="AD362" s="81" t="s">
        <v>2780</v>
      </c>
      <c r="AE362" s="81"/>
      <c r="AF362" s="81"/>
      <c r="AG362" s="81"/>
      <c r="AH362" s="81"/>
      <c r="AI362" s="81" t="s">
        <v>2014</v>
      </c>
      <c r="AJ362" s="88">
        <v>41856.899097222224</v>
      </c>
      <c r="AK362" s="86" t="str">
        <f>HYPERLINK("https://yt3.ggpht.com/ytc/AIf8zZSXslqPH10FejtScwVF4EvXMz_FUjjucfPz5A=s88-c-k-c0x00ffffff-no-rj")</f>
        <v>https://yt3.ggpht.com/ytc/AIf8zZSXslqPH10FejtScwVF4EvXMz_FUjjucfPz5A=s88-c-k-c0x00ffffff-no-rj</v>
      </c>
      <c r="AL362" s="81">
        <v>0</v>
      </c>
      <c r="AM362" s="81">
        <v>0</v>
      </c>
      <c r="AN362" s="81">
        <v>0</v>
      </c>
      <c r="AO362" s="81" t="b">
        <v>0</v>
      </c>
      <c r="AP362" s="81">
        <v>0</v>
      </c>
      <c r="AQ362" s="81"/>
      <c r="AR362" s="81"/>
      <c r="AS362" s="81" t="s">
        <v>3378</v>
      </c>
      <c r="AT362" s="86" t="str">
        <f>HYPERLINK("https://www.youtube.com/channel/UCQJuY_i5bXZ-GAVJSmIrTtg")</f>
        <v>https://www.youtube.com/channel/UCQJuY_i5bXZ-GAVJSmIrTtg</v>
      </c>
      <c r="AU362" s="81" t="str">
        <f>REPLACE(INDEX(GroupVertices[Group],MATCH("~"&amp;Vertices[[#This Row],[Vertex]],GroupVertices[Vertex],0)),1,1,"")</f>
        <v>3</v>
      </c>
      <c r="AV362" s="49"/>
      <c r="AW362" s="49"/>
      <c r="AX362" s="49"/>
      <c r="AY362" s="49"/>
      <c r="AZ362" s="49"/>
      <c r="BA362" s="49"/>
      <c r="BB362" s="117" t="s">
        <v>4020</v>
      </c>
      <c r="BC362" s="117" t="s">
        <v>4020</v>
      </c>
      <c r="BD362" s="117" t="s">
        <v>4710</v>
      </c>
      <c r="BE362" s="117" t="s">
        <v>4710</v>
      </c>
      <c r="BF362" s="2"/>
      <c r="BG362" s="3"/>
      <c r="BH362" s="3"/>
      <c r="BI362" s="3"/>
      <c r="BJ362" s="3"/>
    </row>
    <row r="363" spans="1:62" ht="15">
      <c r="A363" s="66" t="s">
        <v>549</v>
      </c>
      <c r="B363" s="67"/>
      <c r="C363" s="67"/>
      <c r="D363" s="68">
        <v>50</v>
      </c>
      <c r="E363" s="70"/>
      <c r="F363" s="105" t="str">
        <f>HYPERLINK("https://yt3.ggpht.com/ytc/AIf8zZTdC9xGnKmzTh89vcivK-SzbHkOt5uhFlN_4g=s88-c-k-c0x00ffffff-no-rj")</f>
        <v>https://yt3.ggpht.com/ytc/AIf8zZTdC9xGnKmzTh89vcivK-SzbHkOt5uhFlN_4g=s88-c-k-c0x00ffffff-no-rj</v>
      </c>
      <c r="G363" s="67"/>
      <c r="H363" s="71" t="s">
        <v>2781</v>
      </c>
      <c r="I363" s="72"/>
      <c r="J363" s="72" t="s">
        <v>159</v>
      </c>
      <c r="K363" s="71" t="s">
        <v>2781</v>
      </c>
      <c r="L363" s="75">
        <v>1</v>
      </c>
      <c r="M363" s="76">
        <v>4389.92333984375</v>
      </c>
      <c r="N363" s="76">
        <v>6246.45654296875</v>
      </c>
      <c r="O363" s="77"/>
      <c r="P363" s="78"/>
      <c r="Q363" s="78"/>
      <c r="R363" s="90"/>
      <c r="S363" s="49">
        <v>0</v>
      </c>
      <c r="T363" s="49">
        <v>1</v>
      </c>
      <c r="U363" s="50">
        <v>0</v>
      </c>
      <c r="V363" s="50">
        <v>0.209338</v>
      </c>
      <c r="W363" s="51"/>
      <c r="X363" s="51"/>
      <c r="Y363" s="51"/>
      <c r="Z363" s="50"/>
      <c r="AA363" s="73">
        <v>363</v>
      </c>
      <c r="AB363" s="73"/>
      <c r="AC363" s="74"/>
      <c r="AD363" s="81" t="s">
        <v>2781</v>
      </c>
      <c r="AE363" s="81"/>
      <c r="AF363" s="81"/>
      <c r="AG363" s="81"/>
      <c r="AH363" s="81"/>
      <c r="AI363" s="81" t="s">
        <v>2015</v>
      </c>
      <c r="AJ363" s="88">
        <v>43404.252847222226</v>
      </c>
      <c r="AK363" s="86" t="str">
        <f>HYPERLINK("https://yt3.ggpht.com/ytc/AIf8zZTdC9xGnKmzTh89vcivK-SzbHkOt5uhFlN_4g=s88-c-k-c0x00ffffff-no-rj")</f>
        <v>https://yt3.ggpht.com/ytc/AIf8zZTdC9xGnKmzTh89vcivK-SzbHkOt5uhFlN_4g=s88-c-k-c0x00ffffff-no-rj</v>
      </c>
      <c r="AL363" s="81">
        <v>0</v>
      </c>
      <c r="AM363" s="81">
        <v>0</v>
      </c>
      <c r="AN363" s="81">
        <v>0</v>
      </c>
      <c r="AO363" s="81" t="b">
        <v>0</v>
      </c>
      <c r="AP363" s="81">
        <v>0</v>
      </c>
      <c r="AQ363" s="81"/>
      <c r="AR363" s="81"/>
      <c r="AS363" s="81" t="s">
        <v>3378</v>
      </c>
      <c r="AT363" s="86" t="str">
        <f>HYPERLINK("https://www.youtube.com/channel/UCgWLT6iCpP5KbFP56bz1tnw")</f>
        <v>https://www.youtube.com/channel/UCgWLT6iCpP5KbFP56bz1tnw</v>
      </c>
      <c r="AU363" s="81" t="str">
        <f>REPLACE(INDEX(GroupVertices[Group],MATCH("~"&amp;Vertices[[#This Row],[Vertex]],GroupVertices[Vertex],0)),1,1,"")</f>
        <v>3</v>
      </c>
      <c r="AV363" s="49"/>
      <c r="AW363" s="49"/>
      <c r="AX363" s="49"/>
      <c r="AY363" s="49"/>
      <c r="AZ363" s="49"/>
      <c r="BA363" s="49"/>
      <c r="BB363" s="117" t="s">
        <v>4021</v>
      </c>
      <c r="BC363" s="117" t="s">
        <v>4021</v>
      </c>
      <c r="BD363" s="117" t="s">
        <v>4711</v>
      </c>
      <c r="BE363" s="117" t="s">
        <v>4711</v>
      </c>
      <c r="BF363" s="2"/>
      <c r="BG363" s="3"/>
      <c r="BH363" s="3"/>
      <c r="BI363" s="3"/>
      <c r="BJ363" s="3"/>
    </row>
    <row r="364" spans="1:62" ht="15">
      <c r="A364" s="66" t="s">
        <v>550</v>
      </c>
      <c r="B364" s="67"/>
      <c r="C364" s="67"/>
      <c r="D364" s="68">
        <v>50</v>
      </c>
      <c r="E364" s="70"/>
      <c r="F364" s="105" t="str">
        <f>HYPERLINK("https://yt3.ggpht.com/ytc/AIf8zZRJIQx6cUogW85b-I_d_597wTrvh7Ltxwk0Cg=s88-c-k-c0x00ffffff-no-rj")</f>
        <v>https://yt3.ggpht.com/ytc/AIf8zZRJIQx6cUogW85b-I_d_597wTrvh7Ltxwk0Cg=s88-c-k-c0x00ffffff-no-rj</v>
      </c>
      <c r="G364" s="67"/>
      <c r="H364" s="71" t="s">
        <v>2782</v>
      </c>
      <c r="I364" s="72"/>
      <c r="J364" s="72" t="s">
        <v>159</v>
      </c>
      <c r="K364" s="71" t="s">
        <v>2782</v>
      </c>
      <c r="L364" s="75">
        <v>1</v>
      </c>
      <c r="M364" s="76">
        <v>4972.591796875</v>
      </c>
      <c r="N364" s="76">
        <v>7589.62060546875</v>
      </c>
      <c r="O364" s="77"/>
      <c r="P364" s="78"/>
      <c r="Q364" s="78"/>
      <c r="R364" s="90"/>
      <c r="S364" s="49">
        <v>0</v>
      </c>
      <c r="T364" s="49">
        <v>1</v>
      </c>
      <c r="U364" s="50">
        <v>0</v>
      </c>
      <c r="V364" s="50">
        <v>0.209338</v>
      </c>
      <c r="W364" s="51"/>
      <c r="X364" s="51"/>
      <c r="Y364" s="51"/>
      <c r="Z364" s="50"/>
      <c r="AA364" s="73">
        <v>364</v>
      </c>
      <c r="AB364" s="73"/>
      <c r="AC364" s="74"/>
      <c r="AD364" s="81" t="s">
        <v>2782</v>
      </c>
      <c r="AE364" s="81"/>
      <c r="AF364" s="81"/>
      <c r="AG364" s="81"/>
      <c r="AH364" s="81"/>
      <c r="AI364" s="81" t="s">
        <v>2016</v>
      </c>
      <c r="AJ364" s="88">
        <v>40833.24335648148</v>
      </c>
      <c r="AK364" s="86" t="str">
        <f>HYPERLINK("https://yt3.ggpht.com/ytc/AIf8zZRJIQx6cUogW85b-I_d_597wTrvh7Ltxwk0Cg=s88-c-k-c0x00ffffff-no-rj")</f>
        <v>https://yt3.ggpht.com/ytc/AIf8zZRJIQx6cUogW85b-I_d_597wTrvh7Ltxwk0Cg=s88-c-k-c0x00ffffff-no-rj</v>
      </c>
      <c r="AL364" s="81">
        <v>0</v>
      </c>
      <c r="AM364" s="81">
        <v>0</v>
      </c>
      <c r="AN364" s="81">
        <v>5</v>
      </c>
      <c r="AO364" s="81" t="b">
        <v>0</v>
      </c>
      <c r="AP364" s="81">
        <v>0</v>
      </c>
      <c r="AQ364" s="81"/>
      <c r="AR364" s="81"/>
      <c r="AS364" s="81" t="s">
        <v>3378</v>
      </c>
      <c r="AT364" s="86" t="str">
        <f>HYPERLINK("https://www.youtube.com/channel/UCbFpkAf8joKOlEBtk0Es8Cw")</f>
        <v>https://www.youtube.com/channel/UCbFpkAf8joKOlEBtk0Es8Cw</v>
      </c>
      <c r="AU364" s="81" t="str">
        <f>REPLACE(INDEX(GroupVertices[Group],MATCH("~"&amp;Vertices[[#This Row],[Vertex]],GroupVertices[Vertex],0)),1,1,"")</f>
        <v>3</v>
      </c>
      <c r="AV364" s="49"/>
      <c r="AW364" s="49"/>
      <c r="AX364" s="49"/>
      <c r="AY364" s="49"/>
      <c r="AZ364" s="49"/>
      <c r="BA364" s="49"/>
      <c r="BB364" s="117" t="s">
        <v>4022</v>
      </c>
      <c r="BC364" s="117" t="s">
        <v>4022</v>
      </c>
      <c r="BD364" s="117" t="s">
        <v>4712</v>
      </c>
      <c r="BE364" s="117" t="s">
        <v>4712</v>
      </c>
      <c r="BF364" s="2"/>
      <c r="BG364" s="3"/>
      <c r="BH364" s="3"/>
      <c r="BI364" s="3"/>
      <c r="BJ364" s="3"/>
    </row>
    <row r="365" spans="1:62" ht="15">
      <c r="A365" s="66" t="s">
        <v>551</v>
      </c>
      <c r="B365" s="67"/>
      <c r="C365" s="67"/>
      <c r="D365" s="68">
        <v>50</v>
      </c>
      <c r="E365" s="70"/>
      <c r="F365" s="105" t="str">
        <f>HYPERLINK("https://yt3.ggpht.com/ytc/AIf8zZQ2nwpQK1I7NXxJiAX7apuXBuILyhqcailU1fHR=s88-c-k-c0x00ffffff-no-rj")</f>
        <v>https://yt3.ggpht.com/ytc/AIf8zZQ2nwpQK1I7NXxJiAX7apuXBuILyhqcailU1fHR=s88-c-k-c0x00ffffff-no-rj</v>
      </c>
      <c r="G365" s="67"/>
      <c r="H365" s="71" t="s">
        <v>2783</v>
      </c>
      <c r="I365" s="72"/>
      <c r="J365" s="72" t="s">
        <v>159</v>
      </c>
      <c r="K365" s="71" t="s">
        <v>2783</v>
      </c>
      <c r="L365" s="75">
        <v>1</v>
      </c>
      <c r="M365" s="76">
        <v>3993.44384765625</v>
      </c>
      <c r="N365" s="76">
        <v>6924.5908203125</v>
      </c>
      <c r="O365" s="77"/>
      <c r="P365" s="78"/>
      <c r="Q365" s="78"/>
      <c r="R365" s="90"/>
      <c r="S365" s="49">
        <v>0</v>
      </c>
      <c r="T365" s="49">
        <v>1</v>
      </c>
      <c r="U365" s="50">
        <v>0</v>
      </c>
      <c r="V365" s="50">
        <v>0.209338</v>
      </c>
      <c r="W365" s="51"/>
      <c r="X365" s="51"/>
      <c r="Y365" s="51"/>
      <c r="Z365" s="50"/>
      <c r="AA365" s="73">
        <v>365</v>
      </c>
      <c r="AB365" s="73"/>
      <c r="AC365" s="74"/>
      <c r="AD365" s="81" t="s">
        <v>2783</v>
      </c>
      <c r="AE365" s="81"/>
      <c r="AF365" s="81"/>
      <c r="AG365" s="81"/>
      <c r="AH365" s="81"/>
      <c r="AI365" s="81" t="s">
        <v>2017</v>
      </c>
      <c r="AJ365" s="88">
        <v>39693.15424768518</v>
      </c>
      <c r="AK365" s="86" t="str">
        <f>HYPERLINK("https://yt3.ggpht.com/ytc/AIf8zZQ2nwpQK1I7NXxJiAX7apuXBuILyhqcailU1fHR=s88-c-k-c0x00ffffff-no-rj")</f>
        <v>https://yt3.ggpht.com/ytc/AIf8zZQ2nwpQK1I7NXxJiAX7apuXBuILyhqcailU1fHR=s88-c-k-c0x00ffffff-no-rj</v>
      </c>
      <c r="AL365" s="81">
        <v>7213725</v>
      </c>
      <c r="AM365" s="81">
        <v>0</v>
      </c>
      <c r="AN365" s="81">
        <v>54300</v>
      </c>
      <c r="AO365" s="81" t="b">
        <v>0</v>
      </c>
      <c r="AP365" s="81">
        <v>86</v>
      </c>
      <c r="AQ365" s="81"/>
      <c r="AR365" s="81"/>
      <c r="AS365" s="81" t="s">
        <v>3378</v>
      </c>
      <c r="AT365" s="86" t="str">
        <f>HYPERLINK("https://www.youtube.com/channel/UC_WCJS2QvK0TKs3xPjLgUzA")</f>
        <v>https://www.youtube.com/channel/UC_WCJS2QvK0TKs3xPjLgUzA</v>
      </c>
      <c r="AU365" s="81" t="str">
        <f>REPLACE(INDEX(GroupVertices[Group],MATCH("~"&amp;Vertices[[#This Row],[Vertex]],GroupVertices[Vertex],0)),1,1,"")</f>
        <v>3</v>
      </c>
      <c r="AV365" s="49"/>
      <c r="AW365" s="49"/>
      <c r="AX365" s="49"/>
      <c r="AY365" s="49"/>
      <c r="AZ365" s="49"/>
      <c r="BA365" s="49"/>
      <c r="BB365" s="117" t="s">
        <v>4023</v>
      </c>
      <c r="BC365" s="117" t="s">
        <v>4023</v>
      </c>
      <c r="BD365" s="117" t="s">
        <v>2423</v>
      </c>
      <c r="BE365" s="117" t="s">
        <v>2423</v>
      </c>
      <c r="BF365" s="2"/>
      <c r="BG365" s="3"/>
      <c r="BH365" s="3"/>
      <c r="BI365" s="3"/>
      <c r="BJ365" s="3"/>
    </row>
    <row r="366" spans="1:62" ht="15">
      <c r="A366" s="66" t="s">
        <v>552</v>
      </c>
      <c r="B366" s="67"/>
      <c r="C366" s="67"/>
      <c r="D366" s="68">
        <v>50</v>
      </c>
      <c r="E366" s="70"/>
      <c r="F366" s="105" t="str">
        <f>HYPERLINK("https://yt3.ggpht.com/ytc/AIf8zZS8J7cFWK_rGTxOChWw9s6L1vH1rtIZNYaD-A=s88-c-k-c0x00ffffff-no-rj")</f>
        <v>https://yt3.ggpht.com/ytc/AIf8zZS8J7cFWK_rGTxOChWw9s6L1vH1rtIZNYaD-A=s88-c-k-c0x00ffffff-no-rj</v>
      </c>
      <c r="G366" s="67"/>
      <c r="H366" s="71" t="s">
        <v>2784</v>
      </c>
      <c r="I366" s="72"/>
      <c r="J366" s="72" t="s">
        <v>159</v>
      </c>
      <c r="K366" s="71" t="s">
        <v>2784</v>
      </c>
      <c r="L366" s="75">
        <v>1</v>
      </c>
      <c r="M366" s="76">
        <v>5227.119140625</v>
      </c>
      <c r="N366" s="76">
        <v>9846.576171875</v>
      </c>
      <c r="O366" s="77"/>
      <c r="P366" s="78"/>
      <c r="Q366" s="78"/>
      <c r="R366" s="90"/>
      <c r="S366" s="49">
        <v>0</v>
      </c>
      <c r="T366" s="49">
        <v>1</v>
      </c>
      <c r="U366" s="50">
        <v>0</v>
      </c>
      <c r="V366" s="50">
        <v>0.209338</v>
      </c>
      <c r="W366" s="51"/>
      <c r="X366" s="51"/>
      <c r="Y366" s="51"/>
      <c r="Z366" s="50"/>
      <c r="AA366" s="73">
        <v>366</v>
      </c>
      <c r="AB366" s="73"/>
      <c r="AC366" s="74"/>
      <c r="AD366" s="81" t="s">
        <v>2784</v>
      </c>
      <c r="AE366" s="81"/>
      <c r="AF366" s="81"/>
      <c r="AG366" s="81"/>
      <c r="AH366" s="81"/>
      <c r="AI366" s="81" t="s">
        <v>2018</v>
      </c>
      <c r="AJ366" s="88">
        <v>43491.235034722224</v>
      </c>
      <c r="AK366" s="86" t="str">
        <f>HYPERLINK("https://yt3.ggpht.com/ytc/AIf8zZS8J7cFWK_rGTxOChWw9s6L1vH1rtIZNYaD-A=s88-c-k-c0x00ffffff-no-rj")</f>
        <v>https://yt3.ggpht.com/ytc/AIf8zZS8J7cFWK_rGTxOChWw9s6L1vH1rtIZNYaD-A=s88-c-k-c0x00ffffff-no-rj</v>
      </c>
      <c r="AL366" s="81">
        <v>0</v>
      </c>
      <c r="AM366" s="81">
        <v>0</v>
      </c>
      <c r="AN366" s="81">
        <v>8</v>
      </c>
      <c r="AO366" s="81" t="b">
        <v>0</v>
      </c>
      <c r="AP366" s="81">
        <v>0</v>
      </c>
      <c r="AQ366" s="81"/>
      <c r="AR366" s="81"/>
      <c r="AS366" s="81" t="s">
        <v>3378</v>
      </c>
      <c r="AT366" s="86" t="str">
        <f>HYPERLINK("https://www.youtube.com/channel/UCVmBczisbmnAdXymnmffmnQ")</f>
        <v>https://www.youtube.com/channel/UCVmBczisbmnAdXymnmffmnQ</v>
      </c>
      <c r="AU366" s="81" t="str">
        <f>REPLACE(INDEX(GroupVertices[Group],MATCH("~"&amp;Vertices[[#This Row],[Vertex]],GroupVertices[Vertex],0)),1,1,"")</f>
        <v>3</v>
      </c>
      <c r="AV366" s="49"/>
      <c r="AW366" s="49"/>
      <c r="AX366" s="49"/>
      <c r="AY366" s="49"/>
      <c r="AZ366" s="49"/>
      <c r="BA366" s="49"/>
      <c r="BB366" s="117" t="s">
        <v>4024</v>
      </c>
      <c r="BC366" s="117" t="s">
        <v>4024</v>
      </c>
      <c r="BD366" s="117" t="s">
        <v>4713</v>
      </c>
      <c r="BE366" s="117" t="s">
        <v>4713</v>
      </c>
      <c r="BF366" s="2"/>
      <c r="BG366" s="3"/>
      <c r="BH366" s="3"/>
      <c r="BI366" s="3"/>
      <c r="BJ366" s="3"/>
    </row>
    <row r="367" spans="1:62" ht="15">
      <c r="A367" s="66" t="s">
        <v>553</v>
      </c>
      <c r="B367" s="67"/>
      <c r="C367" s="67"/>
      <c r="D367" s="68">
        <v>50</v>
      </c>
      <c r="E367" s="70"/>
      <c r="F367" s="105" t="str">
        <f>HYPERLINK("https://yt3.ggpht.com/ytc/AIf8zZSlcwCZqLAim-D8AzKmPxqWPbax0XvBS8JqW9IL9Q=s88-c-k-c0x00ffffff-no-rj")</f>
        <v>https://yt3.ggpht.com/ytc/AIf8zZSlcwCZqLAim-D8AzKmPxqWPbax0XvBS8JqW9IL9Q=s88-c-k-c0x00ffffff-no-rj</v>
      </c>
      <c r="G367" s="67"/>
      <c r="H367" s="71" t="s">
        <v>2785</v>
      </c>
      <c r="I367" s="72"/>
      <c r="J367" s="72" t="s">
        <v>159</v>
      </c>
      <c r="K367" s="71" t="s">
        <v>2785</v>
      </c>
      <c r="L367" s="75">
        <v>1</v>
      </c>
      <c r="M367" s="76">
        <v>6832.4072265625</v>
      </c>
      <c r="N367" s="76">
        <v>8338.8427734375</v>
      </c>
      <c r="O367" s="77"/>
      <c r="P367" s="78"/>
      <c r="Q367" s="78"/>
      <c r="R367" s="90"/>
      <c r="S367" s="49">
        <v>0</v>
      </c>
      <c r="T367" s="49">
        <v>1</v>
      </c>
      <c r="U367" s="50">
        <v>0</v>
      </c>
      <c r="V367" s="50">
        <v>0.209338</v>
      </c>
      <c r="W367" s="51"/>
      <c r="X367" s="51"/>
      <c r="Y367" s="51"/>
      <c r="Z367" s="50"/>
      <c r="AA367" s="73">
        <v>367</v>
      </c>
      <c r="AB367" s="73"/>
      <c r="AC367" s="74"/>
      <c r="AD367" s="81" t="s">
        <v>2785</v>
      </c>
      <c r="AE367" s="81"/>
      <c r="AF367" s="81"/>
      <c r="AG367" s="81"/>
      <c r="AH367" s="81"/>
      <c r="AI367" s="81" t="s">
        <v>2019</v>
      </c>
      <c r="AJ367" s="88">
        <v>41266.209872685184</v>
      </c>
      <c r="AK367" s="86" t="str">
        <f>HYPERLINK("https://yt3.ggpht.com/ytc/AIf8zZSlcwCZqLAim-D8AzKmPxqWPbax0XvBS8JqW9IL9Q=s88-c-k-c0x00ffffff-no-rj")</f>
        <v>https://yt3.ggpht.com/ytc/AIf8zZSlcwCZqLAim-D8AzKmPxqWPbax0XvBS8JqW9IL9Q=s88-c-k-c0x00ffffff-no-rj</v>
      </c>
      <c r="AL367" s="81">
        <v>0</v>
      </c>
      <c r="AM367" s="81">
        <v>0</v>
      </c>
      <c r="AN367" s="81">
        <v>0</v>
      </c>
      <c r="AO367" s="81" t="b">
        <v>0</v>
      </c>
      <c r="AP367" s="81">
        <v>0</v>
      </c>
      <c r="AQ367" s="81"/>
      <c r="AR367" s="81"/>
      <c r="AS367" s="81" t="s">
        <v>3378</v>
      </c>
      <c r="AT367" s="86" t="str">
        <f>HYPERLINK("https://www.youtube.com/channel/UCh8B1Ja_QHy_NuSHEwh-_jg")</f>
        <v>https://www.youtube.com/channel/UCh8B1Ja_QHy_NuSHEwh-_jg</v>
      </c>
      <c r="AU367" s="81" t="str">
        <f>REPLACE(INDEX(GroupVertices[Group],MATCH("~"&amp;Vertices[[#This Row],[Vertex]],GroupVertices[Vertex],0)),1,1,"")</f>
        <v>3</v>
      </c>
      <c r="AV367" s="49"/>
      <c r="AW367" s="49"/>
      <c r="AX367" s="49"/>
      <c r="AY367" s="49"/>
      <c r="AZ367" s="49"/>
      <c r="BA367" s="49"/>
      <c r="BB367" s="117" t="s">
        <v>4025</v>
      </c>
      <c r="BC367" s="117" t="s">
        <v>4025</v>
      </c>
      <c r="BD367" s="117" t="s">
        <v>4714</v>
      </c>
      <c r="BE367" s="117" t="s">
        <v>4714</v>
      </c>
      <c r="BF367" s="2"/>
      <c r="BG367" s="3"/>
      <c r="BH367" s="3"/>
      <c r="BI367" s="3"/>
      <c r="BJ367" s="3"/>
    </row>
    <row r="368" spans="1:62" ht="15">
      <c r="A368" s="66" t="s">
        <v>554</v>
      </c>
      <c r="B368" s="67"/>
      <c r="C368" s="67"/>
      <c r="D368" s="68">
        <v>50</v>
      </c>
      <c r="E368" s="70"/>
      <c r="F368" s="105" t="str">
        <f>HYPERLINK("https://yt3.ggpht.com/ytc/AIf8zZSyrjwwxX9MVx4lVJUFI1o6nCKUY40VILO6eDmm=s88-c-k-c0x00ffffff-no-rj")</f>
        <v>https://yt3.ggpht.com/ytc/AIf8zZSyrjwwxX9MVx4lVJUFI1o6nCKUY40VILO6eDmm=s88-c-k-c0x00ffffff-no-rj</v>
      </c>
      <c r="G368" s="67"/>
      <c r="H368" s="71" t="s">
        <v>2786</v>
      </c>
      <c r="I368" s="72"/>
      <c r="J368" s="72" t="s">
        <v>159</v>
      </c>
      <c r="K368" s="71" t="s">
        <v>2786</v>
      </c>
      <c r="L368" s="75">
        <v>1</v>
      </c>
      <c r="M368" s="76">
        <v>3875.3076171875</v>
      </c>
      <c r="N368" s="76">
        <v>7532.11474609375</v>
      </c>
      <c r="O368" s="77"/>
      <c r="P368" s="78"/>
      <c r="Q368" s="78"/>
      <c r="R368" s="90"/>
      <c r="S368" s="49">
        <v>0</v>
      </c>
      <c r="T368" s="49">
        <v>1</v>
      </c>
      <c r="U368" s="50">
        <v>0</v>
      </c>
      <c r="V368" s="50">
        <v>0.209338</v>
      </c>
      <c r="W368" s="51"/>
      <c r="X368" s="51"/>
      <c r="Y368" s="51"/>
      <c r="Z368" s="50"/>
      <c r="AA368" s="73">
        <v>368</v>
      </c>
      <c r="AB368" s="73"/>
      <c r="AC368" s="74"/>
      <c r="AD368" s="81" t="s">
        <v>2786</v>
      </c>
      <c r="AE368" s="81"/>
      <c r="AF368" s="81"/>
      <c r="AG368" s="81"/>
      <c r="AH368" s="81"/>
      <c r="AI368" s="81" t="s">
        <v>3303</v>
      </c>
      <c r="AJ368" s="88">
        <v>43758.974814814814</v>
      </c>
      <c r="AK368" s="86" t="str">
        <f>HYPERLINK("https://yt3.ggpht.com/ytc/AIf8zZSyrjwwxX9MVx4lVJUFI1o6nCKUY40VILO6eDmm=s88-c-k-c0x00ffffff-no-rj")</f>
        <v>https://yt3.ggpht.com/ytc/AIf8zZSyrjwwxX9MVx4lVJUFI1o6nCKUY40VILO6eDmm=s88-c-k-c0x00ffffff-no-rj</v>
      </c>
      <c r="AL368" s="81">
        <v>0</v>
      </c>
      <c r="AM368" s="81">
        <v>0</v>
      </c>
      <c r="AN368" s="81">
        <v>1</v>
      </c>
      <c r="AO368" s="81" t="b">
        <v>0</v>
      </c>
      <c r="AP368" s="81">
        <v>0</v>
      </c>
      <c r="AQ368" s="81"/>
      <c r="AR368" s="81"/>
      <c r="AS368" s="81" t="s">
        <v>3378</v>
      </c>
      <c r="AT368" s="86" t="str">
        <f>HYPERLINK("https://www.youtube.com/channel/UCxe1DIONDme-Ftjz_meLQlg")</f>
        <v>https://www.youtube.com/channel/UCxe1DIONDme-Ftjz_meLQlg</v>
      </c>
      <c r="AU368" s="81" t="str">
        <f>REPLACE(INDEX(GroupVertices[Group],MATCH("~"&amp;Vertices[[#This Row],[Vertex]],GroupVertices[Vertex],0)),1,1,"")</f>
        <v>3</v>
      </c>
      <c r="AV368" s="49"/>
      <c r="AW368" s="49"/>
      <c r="AX368" s="49"/>
      <c r="AY368" s="49"/>
      <c r="AZ368" s="49"/>
      <c r="BA368" s="49"/>
      <c r="BB368" s="117" t="s">
        <v>4026</v>
      </c>
      <c r="BC368" s="117" t="s">
        <v>4026</v>
      </c>
      <c r="BD368" s="117" t="s">
        <v>4715</v>
      </c>
      <c r="BE368" s="117" t="s">
        <v>4715</v>
      </c>
      <c r="BF368" s="2"/>
      <c r="BG368" s="3"/>
      <c r="BH368" s="3"/>
      <c r="BI368" s="3"/>
      <c r="BJ368" s="3"/>
    </row>
    <row r="369" spans="1:62" ht="15">
      <c r="A369" s="66" t="s">
        <v>555</v>
      </c>
      <c r="B369" s="67"/>
      <c r="C369" s="67"/>
      <c r="D369" s="68">
        <v>50</v>
      </c>
      <c r="E369" s="70"/>
      <c r="F369" s="105" t="str">
        <f>HYPERLINK("https://yt3.ggpht.com/ytc/AIf8zZQTX_HkiRMWzxCFBDWRBPwj4D7HASprlxFK_w=s88-c-k-c0x00ffffff-no-rj")</f>
        <v>https://yt3.ggpht.com/ytc/AIf8zZQTX_HkiRMWzxCFBDWRBPwj4D7HASprlxFK_w=s88-c-k-c0x00ffffff-no-rj</v>
      </c>
      <c r="G369" s="67"/>
      <c r="H369" s="71" t="s">
        <v>2787</v>
      </c>
      <c r="I369" s="72"/>
      <c r="J369" s="72" t="s">
        <v>159</v>
      </c>
      <c r="K369" s="71" t="s">
        <v>2787</v>
      </c>
      <c r="L369" s="75">
        <v>1</v>
      </c>
      <c r="M369" s="76">
        <v>5524.78125</v>
      </c>
      <c r="N369" s="76">
        <v>8903.8662109375</v>
      </c>
      <c r="O369" s="77"/>
      <c r="P369" s="78"/>
      <c r="Q369" s="78"/>
      <c r="R369" s="90"/>
      <c r="S369" s="49">
        <v>0</v>
      </c>
      <c r="T369" s="49">
        <v>1</v>
      </c>
      <c r="U369" s="50">
        <v>0</v>
      </c>
      <c r="V369" s="50">
        <v>0.209338</v>
      </c>
      <c r="W369" s="51"/>
      <c r="X369" s="51"/>
      <c r="Y369" s="51"/>
      <c r="Z369" s="50"/>
      <c r="AA369" s="73">
        <v>369</v>
      </c>
      <c r="AB369" s="73"/>
      <c r="AC369" s="74"/>
      <c r="AD369" s="81" t="s">
        <v>2787</v>
      </c>
      <c r="AE369" s="81"/>
      <c r="AF369" s="81"/>
      <c r="AG369" s="81"/>
      <c r="AH369" s="81"/>
      <c r="AI369" s="81" t="s">
        <v>2021</v>
      </c>
      <c r="AJ369" s="88">
        <v>41524.18048611111</v>
      </c>
      <c r="AK369" s="86" t="str">
        <f>HYPERLINK("https://yt3.ggpht.com/ytc/AIf8zZQTX_HkiRMWzxCFBDWRBPwj4D7HASprlxFK_w=s88-c-k-c0x00ffffff-no-rj")</f>
        <v>https://yt3.ggpht.com/ytc/AIf8zZQTX_HkiRMWzxCFBDWRBPwj4D7HASprlxFK_w=s88-c-k-c0x00ffffff-no-rj</v>
      </c>
      <c r="AL369" s="81">
        <v>12719</v>
      </c>
      <c r="AM369" s="81">
        <v>0</v>
      </c>
      <c r="AN369" s="81">
        <v>20</v>
      </c>
      <c r="AO369" s="81" t="b">
        <v>0</v>
      </c>
      <c r="AP369" s="81">
        <v>5</v>
      </c>
      <c r="AQ369" s="81"/>
      <c r="AR369" s="81"/>
      <c r="AS369" s="81" t="s">
        <v>3378</v>
      </c>
      <c r="AT369" s="86" t="str">
        <f>HYPERLINK("https://www.youtube.com/channel/UC49OUIqc1iHsazIwOllyHqA")</f>
        <v>https://www.youtube.com/channel/UC49OUIqc1iHsazIwOllyHqA</v>
      </c>
      <c r="AU369" s="81" t="str">
        <f>REPLACE(INDEX(GroupVertices[Group],MATCH("~"&amp;Vertices[[#This Row],[Vertex]],GroupVertices[Vertex],0)),1,1,"")</f>
        <v>3</v>
      </c>
      <c r="AV369" s="49"/>
      <c r="AW369" s="49"/>
      <c r="AX369" s="49"/>
      <c r="AY369" s="49"/>
      <c r="AZ369" s="49"/>
      <c r="BA369" s="49"/>
      <c r="BB369" s="117" t="s">
        <v>4027</v>
      </c>
      <c r="BC369" s="117" t="s">
        <v>4366</v>
      </c>
      <c r="BD369" s="117" t="s">
        <v>4716</v>
      </c>
      <c r="BE369" s="117" t="s">
        <v>5040</v>
      </c>
      <c r="BF369" s="2"/>
      <c r="BG369" s="3"/>
      <c r="BH369" s="3"/>
      <c r="BI369" s="3"/>
      <c r="BJ369" s="3"/>
    </row>
    <row r="370" spans="1:62" ht="15">
      <c r="A370" s="66" t="s">
        <v>556</v>
      </c>
      <c r="B370" s="67"/>
      <c r="C370" s="67"/>
      <c r="D370" s="68">
        <v>50</v>
      </c>
      <c r="E370" s="70"/>
      <c r="F370" s="105" t="str">
        <f>HYPERLINK("https://yt3.ggpht.com/ytc/AIf8zZRZd_BGFDCfRwtmHDnhWsVe_znuKYuJe47iYC6MBw=s88-c-k-c0x00ffffff-no-rj")</f>
        <v>https://yt3.ggpht.com/ytc/AIf8zZRZd_BGFDCfRwtmHDnhWsVe_znuKYuJe47iYC6MBw=s88-c-k-c0x00ffffff-no-rj</v>
      </c>
      <c r="G370" s="67"/>
      <c r="H370" s="71" t="s">
        <v>2788</v>
      </c>
      <c r="I370" s="72"/>
      <c r="J370" s="72" t="s">
        <v>159</v>
      </c>
      <c r="K370" s="71" t="s">
        <v>2788</v>
      </c>
      <c r="L370" s="75">
        <v>1</v>
      </c>
      <c r="M370" s="76">
        <v>6161.54931640625</v>
      </c>
      <c r="N370" s="76">
        <v>6606.23388671875</v>
      </c>
      <c r="O370" s="77"/>
      <c r="P370" s="78"/>
      <c r="Q370" s="78"/>
      <c r="R370" s="90"/>
      <c r="S370" s="49">
        <v>0</v>
      </c>
      <c r="T370" s="49">
        <v>1</v>
      </c>
      <c r="U370" s="50">
        <v>0</v>
      </c>
      <c r="V370" s="50">
        <v>0.209338</v>
      </c>
      <c r="W370" s="51"/>
      <c r="X370" s="51"/>
      <c r="Y370" s="51"/>
      <c r="Z370" s="50"/>
      <c r="AA370" s="73">
        <v>370</v>
      </c>
      <c r="AB370" s="73"/>
      <c r="AC370" s="74"/>
      <c r="AD370" s="81" t="s">
        <v>2788</v>
      </c>
      <c r="AE370" s="81"/>
      <c r="AF370" s="81"/>
      <c r="AG370" s="81"/>
      <c r="AH370" s="81"/>
      <c r="AI370" s="81" t="s">
        <v>2022</v>
      </c>
      <c r="AJ370" s="88">
        <v>41950.25094907408</v>
      </c>
      <c r="AK370" s="86" t="str">
        <f>HYPERLINK("https://yt3.ggpht.com/ytc/AIf8zZRZd_BGFDCfRwtmHDnhWsVe_znuKYuJe47iYC6MBw=s88-c-k-c0x00ffffff-no-rj")</f>
        <v>https://yt3.ggpht.com/ytc/AIf8zZRZd_BGFDCfRwtmHDnhWsVe_znuKYuJe47iYC6MBw=s88-c-k-c0x00ffffff-no-rj</v>
      </c>
      <c r="AL370" s="81">
        <v>0</v>
      </c>
      <c r="AM370" s="81">
        <v>0</v>
      </c>
      <c r="AN370" s="81">
        <v>0</v>
      </c>
      <c r="AO370" s="81" t="b">
        <v>0</v>
      </c>
      <c r="AP370" s="81">
        <v>0</v>
      </c>
      <c r="AQ370" s="81"/>
      <c r="AR370" s="81"/>
      <c r="AS370" s="81" t="s">
        <v>3378</v>
      </c>
      <c r="AT370" s="86" t="str">
        <f>HYPERLINK("https://www.youtube.com/channel/UCR4GxyDBV43ZwpcLgIZm_mQ")</f>
        <v>https://www.youtube.com/channel/UCR4GxyDBV43ZwpcLgIZm_mQ</v>
      </c>
      <c r="AU370" s="81" t="str">
        <f>REPLACE(INDEX(GroupVertices[Group],MATCH("~"&amp;Vertices[[#This Row],[Vertex]],GroupVertices[Vertex],0)),1,1,"")</f>
        <v>3</v>
      </c>
      <c r="AV370" s="49"/>
      <c r="AW370" s="49"/>
      <c r="AX370" s="49"/>
      <c r="AY370" s="49"/>
      <c r="AZ370" s="49"/>
      <c r="BA370" s="49"/>
      <c r="BB370" s="117" t="s">
        <v>4028</v>
      </c>
      <c r="BC370" s="117" t="s">
        <v>4028</v>
      </c>
      <c r="BD370" s="117" t="s">
        <v>4717</v>
      </c>
      <c r="BE370" s="117" t="s">
        <v>4717</v>
      </c>
      <c r="BF370" s="2"/>
      <c r="BG370" s="3"/>
      <c r="BH370" s="3"/>
      <c r="BI370" s="3"/>
      <c r="BJ370" s="3"/>
    </row>
    <row r="371" spans="1:62" ht="15">
      <c r="A371" s="66" t="s">
        <v>557</v>
      </c>
      <c r="B371" s="67"/>
      <c r="C371" s="67"/>
      <c r="D371" s="68">
        <v>50</v>
      </c>
      <c r="E371" s="70"/>
      <c r="F371" s="105" t="str">
        <f>HYPERLINK("https://yt3.ggpht.com/RX4Gy2s5GAVJWnZHjIz2rL9-ZL486lRX06YUadh4lXNxHatSQrIeKCm6pQu1jDK_mBofaAdImyI=s88-c-k-c0x00ffffff-no-rj")</f>
        <v>https://yt3.ggpht.com/RX4Gy2s5GAVJWnZHjIz2rL9-ZL486lRX06YUadh4lXNxHatSQrIeKCm6pQu1jDK_mBofaAdImyI=s88-c-k-c0x00ffffff-no-rj</v>
      </c>
      <c r="G371" s="67"/>
      <c r="H371" s="71" t="s">
        <v>2789</v>
      </c>
      <c r="I371" s="72"/>
      <c r="J371" s="72" t="s">
        <v>159</v>
      </c>
      <c r="K371" s="71" t="s">
        <v>2789</v>
      </c>
      <c r="L371" s="75">
        <v>1</v>
      </c>
      <c r="M371" s="76">
        <v>6867.19873046875</v>
      </c>
      <c r="N371" s="76">
        <v>7706.4931640625</v>
      </c>
      <c r="O371" s="77"/>
      <c r="P371" s="78"/>
      <c r="Q371" s="78"/>
      <c r="R371" s="90"/>
      <c r="S371" s="49">
        <v>0</v>
      </c>
      <c r="T371" s="49">
        <v>1</v>
      </c>
      <c r="U371" s="50">
        <v>0</v>
      </c>
      <c r="V371" s="50">
        <v>0.209338</v>
      </c>
      <c r="W371" s="51"/>
      <c r="X371" s="51"/>
      <c r="Y371" s="51"/>
      <c r="Z371" s="50"/>
      <c r="AA371" s="73">
        <v>371</v>
      </c>
      <c r="AB371" s="73"/>
      <c r="AC371" s="74"/>
      <c r="AD371" s="81" t="s">
        <v>2789</v>
      </c>
      <c r="AE371" s="81"/>
      <c r="AF371" s="81"/>
      <c r="AG371" s="81"/>
      <c r="AH371" s="81"/>
      <c r="AI371" s="81" t="s">
        <v>2023</v>
      </c>
      <c r="AJ371" s="88">
        <v>44787.3368287037</v>
      </c>
      <c r="AK371" s="86" t="str">
        <f>HYPERLINK("https://yt3.ggpht.com/RX4Gy2s5GAVJWnZHjIz2rL9-ZL486lRX06YUadh4lXNxHatSQrIeKCm6pQu1jDK_mBofaAdImyI=s88-c-k-c0x00ffffff-no-rj")</f>
        <v>https://yt3.ggpht.com/RX4Gy2s5GAVJWnZHjIz2rL9-ZL486lRX06YUadh4lXNxHatSQrIeKCm6pQu1jDK_mBofaAdImyI=s88-c-k-c0x00ffffff-no-rj</v>
      </c>
      <c r="AL371" s="81">
        <v>22</v>
      </c>
      <c r="AM371" s="81">
        <v>0</v>
      </c>
      <c r="AN371" s="81">
        <v>1</v>
      </c>
      <c r="AO371" s="81" t="b">
        <v>0</v>
      </c>
      <c r="AP371" s="81">
        <v>12</v>
      </c>
      <c r="AQ371" s="81"/>
      <c r="AR371" s="81"/>
      <c r="AS371" s="81" t="s">
        <v>3378</v>
      </c>
      <c r="AT371" s="86" t="str">
        <f>HYPERLINK("https://www.youtube.com/channel/UC05LCWvw5lPuonrh2TJmE8w")</f>
        <v>https://www.youtube.com/channel/UC05LCWvw5lPuonrh2TJmE8w</v>
      </c>
      <c r="AU371" s="81" t="str">
        <f>REPLACE(INDEX(GroupVertices[Group],MATCH("~"&amp;Vertices[[#This Row],[Vertex]],GroupVertices[Vertex],0)),1,1,"")</f>
        <v>3</v>
      </c>
      <c r="AV371" s="49"/>
      <c r="AW371" s="49"/>
      <c r="AX371" s="49"/>
      <c r="AY371" s="49"/>
      <c r="AZ371" s="49"/>
      <c r="BA371" s="49"/>
      <c r="BB371" s="117" t="s">
        <v>4029</v>
      </c>
      <c r="BC371" s="117" t="s">
        <v>4029</v>
      </c>
      <c r="BD371" s="117" t="s">
        <v>4718</v>
      </c>
      <c r="BE371" s="117" t="s">
        <v>4718</v>
      </c>
      <c r="BF371" s="2"/>
      <c r="BG371" s="3"/>
      <c r="BH371" s="3"/>
      <c r="BI371" s="3"/>
      <c r="BJ371" s="3"/>
    </row>
    <row r="372" spans="1:62" ht="15">
      <c r="A372" s="66" t="s">
        <v>558</v>
      </c>
      <c r="B372" s="67"/>
      <c r="C372" s="67"/>
      <c r="D372" s="68">
        <v>50</v>
      </c>
      <c r="E372" s="70"/>
      <c r="F372" s="105" t="str">
        <f>HYPERLINK("https://yt3.ggpht.com/ytc/AIf8zZQEZwrlBCiIGshMZQlCD4FnW7tqLI0z79JGJQ=s88-c-k-c0x00ffffff-no-rj")</f>
        <v>https://yt3.ggpht.com/ytc/AIf8zZQEZwrlBCiIGshMZQlCD4FnW7tqLI0z79JGJQ=s88-c-k-c0x00ffffff-no-rj</v>
      </c>
      <c r="G372" s="67"/>
      <c r="H372" s="71" t="s">
        <v>2790</v>
      </c>
      <c r="I372" s="72"/>
      <c r="J372" s="72" t="s">
        <v>159</v>
      </c>
      <c r="K372" s="71" t="s">
        <v>2790</v>
      </c>
      <c r="L372" s="75">
        <v>1</v>
      </c>
      <c r="M372" s="76">
        <v>4651.23388671875</v>
      </c>
      <c r="N372" s="76">
        <v>9655.298828125</v>
      </c>
      <c r="O372" s="77"/>
      <c r="P372" s="78"/>
      <c r="Q372" s="78"/>
      <c r="R372" s="90"/>
      <c r="S372" s="49">
        <v>0</v>
      </c>
      <c r="T372" s="49">
        <v>1</v>
      </c>
      <c r="U372" s="50">
        <v>0</v>
      </c>
      <c r="V372" s="50">
        <v>0.209338</v>
      </c>
      <c r="W372" s="51"/>
      <c r="X372" s="51"/>
      <c r="Y372" s="51"/>
      <c r="Z372" s="50"/>
      <c r="AA372" s="73">
        <v>372</v>
      </c>
      <c r="AB372" s="73"/>
      <c r="AC372" s="74"/>
      <c r="AD372" s="81" t="s">
        <v>2790</v>
      </c>
      <c r="AE372" s="81"/>
      <c r="AF372" s="81"/>
      <c r="AG372" s="81"/>
      <c r="AH372" s="81"/>
      <c r="AI372" s="81" t="s">
        <v>3304</v>
      </c>
      <c r="AJ372" s="88">
        <v>41578.384467592594</v>
      </c>
      <c r="AK372" s="86" t="str">
        <f>HYPERLINK("https://yt3.ggpht.com/ytc/AIf8zZQEZwrlBCiIGshMZQlCD4FnW7tqLI0z79JGJQ=s88-c-k-c0x00ffffff-no-rj")</f>
        <v>https://yt3.ggpht.com/ytc/AIf8zZQEZwrlBCiIGshMZQlCD4FnW7tqLI0z79JGJQ=s88-c-k-c0x00ffffff-no-rj</v>
      </c>
      <c r="AL372" s="81">
        <v>0</v>
      </c>
      <c r="AM372" s="81">
        <v>0</v>
      </c>
      <c r="AN372" s="81">
        <v>0</v>
      </c>
      <c r="AO372" s="81" t="b">
        <v>0</v>
      </c>
      <c r="AP372" s="81">
        <v>0</v>
      </c>
      <c r="AQ372" s="81"/>
      <c r="AR372" s="81"/>
      <c r="AS372" s="81" t="s">
        <v>3378</v>
      </c>
      <c r="AT372" s="86" t="str">
        <f>HYPERLINK("https://www.youtube.com/channel/UCAlmn1BN7ifoHzUgvU_afmA")</f>
        <v>https://www.youtube.com/channel/UCAlmn1BN7ifoHzUgvU_afmA</v>
      </c>
      <c r="AU372" s="81" t="str">
        <f>REPLACE(INDEX(GroupVertices[Group],MATCH("~"&amp;Vertices[[#This Row],[Vertex]],GroupVertices[Vertex],0)),1,1,"")</f>
        <v>3</v>
      </c>
      <c r="AV372" s="49"/>
      <c r="AW372" s="49"/>
      <c r="AX372" s="49"/>
      <c r="AY372" s="49"/>
      <c r="AZ372" s="49"/>
      <c r="BA372" s="49"/>
      <c r="BB372" s="117" t="s">
        <v>4030</v>
      </c>
      <c r="BC372" s="117" t="s">
        <v>4030</v>
      </c>
      <c r="BD372" s="117" t="s">
        <v>4719</v>
      </c>
      <c r="BE372" s="117" t="s">
        <v>4719</v>
      </c>
      <c r="BF372" s="2"/>
      <c r="BG372" s="3"/>
      <c r="BH372" s="3"/>
      <c r="BI372" s="3"/>
      <c r="BJ372" s="3"/>
    </row>
    <row r="373" spans="1:62" ht="15">
      <c r="A373" s="66" t="s">
        <v>560</v>
      </c>
      <c r="B373" s="67"/>
      <c r="C373" s="67"/>
      <c r="D373" s="68">
        <v>50</v>
      </c>
      <c r="E373" s="70"/>
      <c r="F373" s="105" t="str">
        <f>HYPERLINK("https://yt3.ggpht.com/ytc/AIf8zZQCz71LNIzPOJRIMy1lQ-0pNoJPNWdWnhsH4w=s88-c-k-c0x00ffffff-no-rj")</f>
        <v>https://yt3.ggpht.com/ytc/AIf8zZQCz71LNIzPOJRIMy1lQ-0pNoJPNWdWnhsH4w=s88-c-k-c0x00ffffff-no-rj</v>
      </c>
      <c r="G373" s="67"/>
      <c r="H373" s="71" t="s">
        <v>2792</v>
      </c>
      <c r="I373" s="72"/>
      <c r="J373" s="72" t="s">
        <v>159</v>
      </c>
      <c r="K373" s="71" t="s">
        <v>2792</v>
      </c>
      <c r="L373" s="75">
        <v>1</v>
      </c>
      <c r="M373" s="76">
        <v>5189.89013671875</v>
      </c>
      <c r="N373" s="76">
        <v>8963.6591796875</v>
      </c>
      <c r="O373" s="77"/>
      <c r="P373" s="78"/>
      <c r="Q373" s="78"/>
      <c r="R373" s="90"/>
      <c r="S373" s="49">
        <v>0</v>
      </c>
      <c r="T373" s="49">
        <v>1</v>
      </c>
      <c r="U373" s="50">
        <v>0</v>
      </c>
      <c r="V373" s="50">
        <v>0.209338</v>
      </c>
      <c r="W373" s="51"/>
      <c r="X373" s="51"/>
      <c r="Y373" s="51"/>
      <c r="Z373" s="50"/>
      <c r="AA373" s="73">
        <v>373</v>
      </c>
      <c r="AB373" s="73"/>
      <c r="AC373" s="74"/>
      <c r="AD373" s="81" t="s">
        <v>2792</v>
      </c>
      <c r="AE373" s="81"/>
      <c r="AF373" s="81"/>
      <c r="AG373" s="81"/>
      <c r="AH373" s="81"/>
      <c r="AI373" s="81" t="s">
        <v>2026</v>
      </c>
      <c r="AJ373" s="88">
        <v>40917.259571759256</v>
      </c>
      <c r="AK373" s="86" t="str">
        <f>HYPERLINK("https://yt3.ggpht.com/ytc/AIf8zZQCz71LNIzPOJRIMy1lQ-0pNoJPNWdWnhsH4w=s88-c-k-c0x00ffffff-no-rj")</f>
        <v>https://yt3.ggpht.com/ytc/AIf8zZQCz71LNIzPOJRIMy1lQ-0pNoJPNWdWnhsH4w=s88-c-k-c0x00ffffff-no-rj</v>
      </c>
      <c r="AL373" s="81">
        <v>0</v>
      </c>
      <c r="AM373" s="81">
        <v>0</v>
      </c>
      <c r="AN373" s="81">
        <v>0</v>
      </c>
      <c r="AO373" s="81" t="b">
        <v>0</v>
      </c>
      <c r="AP373" s="81">
        <v>0</v>
      </c>
      <c r="AQ373" s="81"/>
      <c r="AR373" s="81"/>
      <c r="AS373" s="81" t="s">
        <v>3378</v>
      </c>
      <c r="AT373" s="86" t="str">
        <f>HYPERLINK("https://www.youtube.com/channel/UCQ4_VbvO_pK1jif12MouYDw")</f>
        <v>https://www.youtube.com/channel/UCQ4_VbvO_pK1jif12MouYDw</v>
      </c>
      <c r="AU373" s="81" t="str">
        <f>REPLACE(INDEX(GroupVertices[Group],MATCH("~"&amp;Vertices[[#This Row],[Vertex]],GroupVertices[Vertex],0)),1,1,"")</f>
        <v>3</v>
      </c>
      <c r="AV373" s="49"/>
      <c r="AW373" s="49"/>
      <c r="AX373" s="49"/>
      <c r="AY373" s="49"/>
      <c r="AZ373" s="49"/>
      <c r="BA373" s="49"/>
      <c r="BB373" s="117" t="s">
        <v>4032</v>
      </c>
      <c r="BC373" s="117" t="s">
        <v>4032</v>
      </c>
      <c r="BD373" s="117" t="s">
        <v>4721</v>
      </c>
      <c r="BE373" s="117" t="s">
        <v>4721</v>
      </c>
      <c r="BF373" s="2"/>
      <c r="BG373" s="3"/>
      <c r="BH373" s="3"/>
      <c r="BI373" s="3"/>
      <c r="BJ373" s="3"/>
    </row>
    <row r="374" spans="1:62" ht="15">
      <c r="A374" s="66" t="s">
        <v>561</v>
      </c>
      <c r="B374" s="67"/>
      <c r="C374" s="67"/>
      <c r="D374" s="68">
        <v>50</v>
      </c>
      <c r="E374" s="70"/>
      <c r="F374" s="105" t="str">
        <f>HYPERLINK("https://yt3.ggpht.com/ytc/AIf8zZRZv7I2-3tcny6Nwyjqz_SjyicgjFi_AVef0TuRm1U=s88-c-k-c0x00ffffff-no-rj")</f>
        <v>https://yt3.ggpht.com/ytc/AIf8zZRZv7I2-3tcny6Nwyjqz_SjyicgjFi_AVef0TuRm1U=s88-c-k-c0x00ffffff-no-rj</v>
      </c>
      <c r="G374" s="67"/>
      <c r="H374" s="71" t="s">
        <v>2793</v>
      </c>
      <c r="I374" s="72"/>
      <c r="J374" s="72" t="s">
        <v>159</v>
      </c>
      <c r="K374" s="71" t="s">
        <v>2793</v>
      </c>
      <c r="L374" s="75">
        <v>1</v>
      </c>
      <c r="M374" s="76">
        <v>6005.66064453125</v>
      </c>
      <c r="N374" s="76">
        <v>9655.8193359375</v>
      </c>
      <c r="O374" s="77"/>
      <c r="P374" s="78"/>
      <c r="Q374" s="78"/>
      <c r="R374" s="90"/>
      <c r="S374" s="49">
        <v>0</v>
      </c>
      <c r="T374" s="49">
        <v>1</v>
      </c>
      <c r="U374" s="50">
        <v>0</v>
      </c>
      <c r="V374" s="50">
        <v>0.209338</v>
      </c>
      <c r="W374" s="51"/>
      <c r="X374" s="51"/>
      <c r="Y374" s="51"/>
      <c r="Z374" s="50"/>
      <c r="AA374" s="73">
        <v>374</v>
      </c>
      <c r="AB374" s="73"/>
      <c r="AC374" s="74"/>
      <c r="AD374" s="81" t="s">
        <v>2793</v>
      </c>
      <c r="AE374" s="81"/>
      <c r="AF374" s="81"/>
      <c r="AG374" s="81"/>
      <c r="AH374" s="81"/>
      <c r="AI374" s="81" t="s">
        <v>2027</v>
      </c>
      <c r="AJ374" s="88">
        <v>39343.15724537037</v>
      </c>
      <c r="AK374" s="86" t="str">
        <f>HYPERLINK("https://yt3.ggpht.com/ytc/AIf8zZRZv7I2-3tcny6Nwyjqz_SjyicgjFi_AVef0TuRm1U=s88-c-k-c0x00ffffff-no-rj")</f>
        <v>https://yt3.ggpht.com/ytc/AIf8zZRZv7I2-3tcny6Nwyjqz_SjyicgjFi_AVef0TuRm1U=s88-c-k-c0x00ffffff-no-rj</v>
      </c>
      <c r="AL374" s="81">
        <v>427159</v>
      </c>
      <c r="AM374" s="81">
        <v>0</v>
      </c>
      <c r="AN374" s="81">
        <v>231</v>
      </c>
      <c r="AO374" s="81" t="b">
        <v>0</v>
      </c>
      <c r="AP374" s="81">
        <v>35</v>
      </c>
      <c r="AQ374" s="81"/>
      <c r="AR374" s="81"/>
      <c r="AS374" s="81" t="s">
        <v>3378</v>
      </c>
      <c r="AT374" s="86" t="str">
        <f>HYPERLINK("https://www.youtube.com/channel/UC-b1oHeHzzAe3R1_T7MDyHQ")</f>
        <v>https://www.youtube.com/channel/UC-b1oHeHzzAe3R1_T7MDyHQ</v>
      </c>
      <c r="AU374" s="81" t="str">
        <f>REPLACE(INDEX(GroupVertices[Group],MATCH("~"&amp;Vertices[[#This Row],[Vertex]],GroupVertices[Vertex],0)),1,1,"")</f>
        <v>3</v>
      </c>
      <c r="AV374" s="49"/>
      <c r="AW374" s="49"/>
      <c r="AX374" s="49"/>
      <c r="AY374" s="49"/>
      <c r="AZ374" s="49"/>
      <c r="BA374" s="49"/>
      <c r="BB374" s="117" t="s">
        <v>4033</v>
      </c>
      <c r="BC374" s="117" t="s">
        <v>4033</v>
      </c>
      <c r="BD374" s="117" t="s">
        <v>4722</v>
      </c>
      <c r="BE374" s="117" t="s">
        <v>4722</v>
      </c>
      <c r="BF374" s="2"/>
      <c r="BG374" s="3"/>
      <c r="BH374" s="3"/>
      <c r="BI374" s="3"/>
      <c r="BJ374" s="3"/>
    </row>
    <row r="375" spans="1:62" ht="15">
      <c r="A375" s="66" t="s">
        <v>562</v>
      </c>
      <c r="B375" s="67"/>
      <c r="C375" s="67"/>
      <c r="D375" s="68">
        <v>50</v>
      </c>
      <c r="E375" s="70"/>
      <c r="F375" s="105" t="str">
        <f>HYPERLINK("https://yt3.ggpht.com/ytc/AIf8zZTJznrhLXjoiFADm1oKhJSRS75Khbo1y2NfxbVF=s88-c-k-c0x00ffffff-no-rj")</f>
        <v>https://yt3.ggpht.com/ytc/AIf8zZTJznrhLXjoiFADm1oKhJSRS75Khbo1y2NfxbVF=s88-c-k-c0x00ffffff-no-rj</v>
      </c>
      <c r="G375" s="67"/>
      <c r="H375" s="71" t="s">
        <v>2794</v>
      </c>
      <c r="I375" s="72"/>
      <c r="J375" s="72" t="s">
        <v>159</v>
      </c>
      <c r="K375" s="71" t="s">
        <v>2794</v>
      </c>
      <c r="L375" s="75">
        <v>1</v>
      </c>
      <c r="M375" s="76">
        <v>4129.84912109375</v>
      </c>
      <c r="N375" s="76">
        <v>7210.89306640625</v>
      </c>
      <c r="O375" s="77"/>
      <c r="P375" s="78"/>
      <c r="Q375" s="78"/>
      <c r="R375" s="90"/>
      <c r="S375" s="49">
        <v>0</v>
      </c>
      <c r="T375" s="49">
        <v>1</v>
      </c>
      <c r="U375" s="50">
        <v>0</v>
      </c>
      <c r="V375" s="50">
        <v>0.209338</v>
      </c>
      <c r="W375" s="51"/>
      <c r="X375" s="51"/>
      <c r="Y375" s="51"/>
      <c r="Z375" s="50"/>
      <c r="AA375" s="73">
        <v>375</v>
      </c>
      <c r="AB375" s="73"/>
      <c r="AC375" s="74"/>
      <c r="AD375" s="81" t="s">
        <v>2794</v>
      </c>
      <c r="AE375" s="81"/>
      <c r="AF375" s="81"/>
      <c r="AG375" s="81"/>
      <c r="AH375" s="81"/>
      <c r="AI375" s="81" t="s">
        <v>2028</v>
      </c>
      <c r="AJ375" s="88">
        <v>40631.925717592596</v>
      </c>
      <c r="AK375" s="86" t="str">
        <f>HYPERLINK("https://yt3.ggpht.com/ytc/AIf8zZTJznrhLXjoiFADm1oKhJSRS75Khbo1y2NfxbVF=s88-c-k-c0x00ffffff-no-rj")</f>
        <v>https://yt3.ggpht.com/ytc/AIf8zZTJznrhLXjoiFADm1oKhJSRS75Khbo1y2NfxbVF=s88-c-k-c0x00ffffff-no-rj</v>
      </c>
      <c r="AL375" s="81">
        <v>25</v>
      </c>
      <c r="AM375" s="81">
        <v>0</v>
      </c>
      <c r="AN375" s="81">
        <v>13</v>
      </c>
      <c r="AO375" s="81" t="b">
        <v>0</v>
      </c>
      <c r="AP375" s="81">
        <v>2</v>
      </c>
      <c r="AQ375" s="81"/>
      <c r="AR375" s="81"/>
      <c r="AS375" s="81" t="s">
        <v>3378</v>
      </c>
      <c r="AT375" s="86" t="str">
        <f>HYPERLINK("https://www.youtube.com/channel/UCGfmkO5Dg9VC4asYfPJM4zQ")</f>
        <v>https://www.youtube.com/channel/UCGfmkO5Dg9VC4asYfPJM4zQ</v>
      </c>
      <c r="AU375" s="81" t="str">
        <f>REPLACE(INDEX(GroupVertices[Group],MATCH("~"&amp;Vertices[[#This Row],[Vertex]],GroupVertices[Vertex],0)),1,1,"")</f>
        <v>3</v>
      </c>
      <c r="AV375" s="49"/>
      <c r="AW375" s="49"/>
      <c r="AX375" s="49"/>
      <c r="AY375" s="49"/>
      <c r="AZ375" s="49"/>
      <c r="BA375" s="49"/>
      <c r="BB375" s="117" t="s">
        <v>4034</v>
      </c>
      <c r="BC375" s="117" t="s">
        <v>4034</v>
      </c>
      <c r="BD375" s="117" t="s">
        <v>4723</v>
      </c>
      <c r="BE375" s="117" t="s">
        <v>4723</v>
      </c>
      <c r="BF375" s="2"/>
      <c r="BG375" s="3"/>
      <c r="BH375" s="3"/>
      <c r="BI375" s="3"/>
      <c r="BJ375" s="3"/>
    </row>
    <row r="376" spans="1:62" ht="15">
      <c r="A376" s="66" t="s">
        <v>563</v>
      </c>
      <c r="B376" s="67"/>
      <c r="C376" s="67"/>
      <c r="D376" s="68">
        <v>50</v>
      </c>
      <c r="E376" s="70"/>
      <c r="F376" s="105" t="str">
        <f>HYPERLINK("https://yt3.ggpht.com/ytc/AIf8zZSThsaQEpBTZwIFKZQeSpx8opLaqveUKpZl0_ypCw=s88-c-k-c0x00ffffff-no-rj")</f>
        <v>https://yt3.ggpht.com/ytc/AIf8zZSThsaQEpBTZwIFKZQeSpx8opLaqveUKpZl0_ypCw=s88-c-k-c0x00ffffff-no-rj</v>
      </c>
      <c r="G376" s="67"/>
      <c r="H376" s="71" t="s">
        <v>2795</v>
      </c>
      <c r="I376" s="72"/>
      <c r="J376" s="72" t="s">
        <v>159</v>
      </c>
      <c r="K376" s="71" t="s">
        <v>2795</v>
      </c>
      <c r="L376" s="75">
        <v>1</v>
      </c>
      <c r="M376" s="76">
        <v>4109.1416015625</v>
      </c>
      <c r="N376" s="76">
        <v>6697.9990234375</v>
      </c>
      <c r="O376" s="77"/>
      <c r="P376" s="78"/>
      <c r="Q376" s="78"/>
      <c r="R376" s="90"/>
      <c r="S376" s="49">
        <v>0</v>
      </c>
      <c r="T376" s="49">
        <v>1</v>
      </c>
      <c r="U376" s="50">
        <v>0</v>
      </c>
      <c r="V376" s="50">
        <v>0.209338</v>
      </c>
      <c r="W376" s="51"/>
      <c r="X376" s="51"/>
      <c r="Y376" s="51"/>
      <c r="Z376" s="50"/>
      <c r="AA376" s="73">
        <v>376</v>
      </c>
      <c r="AB376" s="73"/>
      <c r="AC376" s="74"/>
      <c r="AD376" s="81" t="s">
        <v>2795</v>
      </c>
      <c r="AE376" s="81"/>
      <c r="AF376" s="81"/>
      <c r="AG376" s="81"/>
      <c r="AH376" s="81"/>
      <c r="AI376" s="81" t="s">
        <v>2029</v>
      </c>
      <c r="AJ376" s="88">
        <v>39944.057291666664</v>
      </c>
      <c r="AK376" s="86" t="str">
        <f>HYPERLINK("https://yt3.ggpht.com/ytc/AIf8zZSThsaQEpBTZwIFKZQeSpx8opLaqveUKpZl0_ypCw=s88-c-k-c0x00ffffff-no-rj")</f>
        <v>https://yt3.ggpht.com/ytc/AIf8zZSThsaQEpBTZwIFKZQeSpx8opLaqveUKpZl0_ypCw=s88-c-k-c0x00ffffff-no-rj</v>
      </c>
      <c r="AL376" s="81">
        <v>84</v>
      </c>
      <c r="AM376" s="81">
        <v>0</v>
      </c>
      <c r="AN376" s="81">
        <v>3</v>
      </c>
      <c r="AO376" s="81" t="b">
        <v>0</v>
      </c>
      <c r="AP376" s="81">
        <v>4</v>
      </c>
      <c r="AQ376" s="81"/>
      <c r="AR376" s="81"/>
      <c r="AS376" s="81" t="s">
        <v>3378</v>
      </c>
      <c r="AT376" s="86" t="str">
        <f>HYPERLINK("https://www.youtube.com/channel/UCHALEe-ya_xIGuUpBWQ_UsQ")</f>
        <v>https://www.youtube.com/channel/UCHALEe-ya_xIGuUpBWQ_UsQ</v>
      </c>
      <c r="AU376" s="81" t="str">
        <f>REPLACE(INDEX(GroupVertices[Group],MATCH("~"&amp;Vertices[[#This Row],[Vertex]],GroupVertices[Vertex],0)),1,1,"")</f>
        <v>3</v>
      </c>
      <c r="AV376" s="49"/>
      <c r="AW376" s="49"/>
      <c r="AX376" s="49"/>
      <c r="AY376" s="49"/>
      <c r="AZ376" s="49"/>
      <c r="BA376" s="49"/>
      <c r="BB376" s="117" t="s">
        <v>4035</v>
      </c>
      <c r="BC376" s="117" t="s">
        <v>4035</v>
      </c>
      <c r="BD376" s="117" t="s">
        <v>4724</v>
      </c>
      <c r="BE376" s="117" t="s">
        <v>4724</v>
      </c>
      <c r="BF376" s="2"/>
      <c r="BG376" s="3"/>
      <c r="BH376" s="3"/>
      <c r="BI376" s="3"/>
      <c r="BJ376" s="3"/>
    </row>
    <row r="377" spans="1:62" ht="15">
      <c r="A377" s="66" t="s">
        <v>564</v>
      </c>
      <c r="B377" s="67"/>
      <c r="C377" s="67"/>
      <c r="D377" s="68">
        <v>50</v>
      </c>
      <c r="E377" s="70"/>
      <c r="F377" s="105" t="str">
        <f>HYPERLINK("https://yt3.ggpht.com/ytc/AIf8zZQJO3tqGQka7yqt2vIY1rs1eR2m1KNJFp4zsg=s88-c-k-c0x00ffffff-no-rj")</f>
        <v>https://yt3.ggpht.com/ytc/AIf8zZQJO3tqGQka7yqt2vIY1rs1eR2m1KNJFp4zsg=s88-c-k-c0x00ffffff-no-rj</v>
      </c>
      <c r="G377" s="67"/>
      <c r="H377" s="71" t="s">
        <v>2796</v>
      </c>
      <c r="I377" s="72"/>
      <c r="J377" s="72" t="s">
        <v>159</v>
      </c>
      <c r="K377" s="71" t="s">
        <v>2796</v>
      </c>
      <c r="L377" s="75">
        <v>1</v>
      </c>
      <c r="M377" s="76">
        <v>6632.23583984375</v>
      </c>
      <c r="N377" s="76">
        <v>8183.78564453125</v>
      </c>
      <c r="O377" s="77"/>
      <c r="P377" s="78"/>
      <c r="Q377" s="78"/>
      <c r="R377" s="90"/>
      <c r="S377" s="49">
        <v>0</v>
      </c>
      <c r="T377" s="49">
        <v>1</v>
      </c>
      <c r="U377" s="50">
        <v>0</v>
      </c>
      <c r="V377" s="50">
        <v>0.209338</v>
      </c>
      <c r="W377" s="51"/>
      <c r="X377" s="51"/>
      <c r="Y377" s="51"/>
      <c r="Z377" s="50"/>
      <c r="AA377" s="73">
        <v>377</v>
      </c>
      <c r="AB377" s="73"/>
      <c r="AC377" s="74"/>
      <c r="AD377" s="81" t="s">
        <v>2796</v>
      </c>
      <c r="AE377" s="81" t="s">
        <v>3178</v>
      </c>
      <c r="AF377" s="81"/>
      <c r="AG377" s="81"/>
      <c r="AH377" s="81"/>
      <c r="AI377" s="81" t="s">
        <v>2030</v>
      </c>
      <c r="AJ377" s="88">
        <v>41999.2690162037</v>
      </c>
      <c r="AK377" s="86" t="str">
        <f>HYPERLINK("https://yt3.ggpht.com/ytc/AIf8zZQJO3tqGQka7yqt2vIY1rs1eR2m1KNJFp4zsg=s88-c-k-c0x00ffffff-no-rj")</f>
        <v>https://yt3.ggpht.com/ytc/AIf8zZQJO3tqGQka7yqt2vIY1rs1eR2m1KNJFp4zsg=s88-c-k-c0x00ffffff-no-rj</v>
      </c>
      <c r="AL377" s="81">
        <v>38</v>
      </c>
      <c r="AM377" s="81">
        <v>0</v>
      </c>
      <c r="AN377" s="81">
        <v>7</v>
      </c>
      <c r="AO377" s="81" t="b">
        <v>0</v>
      </c>
      <c r="AP377" s="81">
        <v>3</v>
      </c>
      <c r="AQ377" s="81"/>
      <c r="AR377" s="81"/>
      <c r="AS377" s="81" t="s">
        <v>3378</v>
      </c>
      <c r="AT377" s="86" t="str">
        <f>HYPERLINK("https://www.youtube.com/channel/UCqz6R-AeBNCglAXuco6PQQw")</f>
        <v>https://www.youtube.com/channel/UCqz6R-AeBNCglAXuco6PQQw</v>
      </c>
      <c r="AU377" s="81" t="str">
        <f>REPLACE(INDEX(GroupVertices[Group],MATCH("~"&amp;Vertices[[#This Row],[Vertex]],GroupVertices[Vertex],0)),1,1,"")</f>
        <v>3</v>
      </c>
      <c r="AV377" s="49"/>
      <c r="AW377" s="49"/>
      <c r="AX377" s="49"/>
      <c r="AY377" s="49"/>
      <c r="AZ377" s="49"/>
      <c r="BA377" s="49"/>
      <c r="BB377" s="117" t="s">
        <v>2423</v>
      </c>
      <c r="BC377" s="117" t="s">
        <v>2423</v>
      </c>
      <c r="BD377" s="117" t="s">
        <v>2423</v>
      </c>
      <c r="BE377" s="117" t="s">
        <v>2423</v>
      </c>
      <c r="BF377" s="2"/>
      <c r="BG377" s="3"/>
      <c r="BH377" s="3"/>
      <c r="BI377" s="3"/>
      <c r="BJ377" s="3"/>
    </row>
    <row r="378" spans="1:62" ht="15">
      <c r="A378" s="66" t="s">
        <v>565</v>
      </c>
      <c r="B378" s="67"/>
      <c r="C378" s="67"/>
      <c r="D378" s="68">
        <v>50</v>
      </c>
      <c r="E378" s="70"/>
      <c r="F378" s="105" t="str">
        <f>HYPERLINK("https://yt3.ggpht.com/ytc/AIf8zZSV7zDtcABn7-B_poYmHi3NBjBDK81RHsfT68Ms=s88-c-k-c0x00ffffff-no-rj")</f>
        <v>https://yt3.ggpht.com/ytc/AIf8zZSV7zDtcABn7-B_poYmHi3NBjBDK81RHsfT68Ms=s88-c-k-c0x00ffffff-no-rj</v>
      </c>
      <c r="G378" s="67"/>
      <c r="H378" s="71" t="s">
        <v>2797</v>
      </c>
      <c r="I378" s="72"/>
      <c r="J378" s="72" t="s">
        <v>159</v>
      </c>
      <c r="K378" s="71" t="s">
        <v>2797</v>
      </c>
      <c r="L378" s="75">
        <v>1</v>
      </c>
      <c r="M378" s="76">
        <v>4855.73779296875</v>
      </c>
      <c r="N378" s="76">
        <v>9666.083984375</v>
      </c>
      <c r="O378" s="77"/>
      <c r="P378" s="78"/>
      <c r="Q378" s="78"/>
      <c r="R378" s="90"/>
      <c r="S378" s="49">
        <v>0</v>
      </c>
      <c r="T378" s="49">
        <v>1</v>
      </c>
      <c r="U378" s="50">
        <v>0</v>
      </c>
      <c r="V378" s="50">
        <v>0.209338</v>
      </c>
      <c r="W378" s="51"/>
      <c r="X378" s="51"/>
      <c r="Y378" s="51"/>
      <c r="Z378" s="50"/>
      <c r="AA378" s="73">
        <v>378</v>
      </c>
      <c r="AB378" s="73"/>
      <c r="AC378" s="74"/>
      <c r="AD378" s="81" t="s">
        <v>2797</v>
      </c>
      <c r="AE378" s="81"/>
      <c r="AF378" s="81"/>
      <c r="AG378" s="81"/>
      <c r="AH378" s="81"/>
      <c r="AI378" s="81" t="s">
        <v>2031</v>
      </c>
      <c r="AJ378" s="88">
        <v>43759.14465277778</v>
      </c>
      <c r="AK378" s="86" t="str">
        <f>HYPERLINK("https://yt3.ggpht.com/ytc/AIf8zZSV7zDtcABn7-B_poYmHi3NBjBDK81RHsfT68Ms=s88-c-k-c0x00ffffff-no-rj")</f>
        <v>https://yt3.ggpht.com/ytc/AIf8zZSV7zDtcABn7-B_poYmHi3NBjBDK81RHsfT68Ms=s88-c-k-c0x00ffffff-no-rj</v>
      </c>
      <c r="AL378" s="81">
        <v>0</v>
      </c>
      <c r="AM378" s="81">
        <v>0</v>
      </c>
      <c r="AN378" s="81">
        <v>0</v>
      </c>
      <c r="AO378" s="81" t="b">
        <v>0</v>
      </c>
      <c r="AP378" s="81">
        <v>0</v>
      </c>
      <c r="AQ378" s="81"/>
      <c r="AR378" s="81"/>
      <c r="AS378" s="81" t="s">
        <v>3378</v>
      </c>
      <c r="AT378" s="86" t="str">
        <f>HYPERLINK("https://www.youtube.com/channel/UCkHqCBJzKGKmZ9ELeLMw-QA")</f>
        <v>https://www.youtube.com/channel/UCkHqCBJzKGKmZ9ELeLMw-QA</v>
      </c>
      <c r="AU378" s="81" t="str">
        <f>REPLACE(INDEX(GroupVertices[Group],MATCH("~"&amp;Vertices[[#This Row],[Vertex]],GroupVertices[Vertex],0)),1,1,"")</f>
        <v>3</v>
      </c>
      <c r="AV378" s="49"/>
      <c r="AW378" s="49"/>
      <c r="AX378" s="49"/>
      <c r="AY378" s="49"/>
      <c r="AZ378" s="49"/>
      <c r="BA378" s="49"/>
      <c r="BB378" s="117" t="s">
        <v>4036</v>
      </c>
      <c r="BC378" s="117" t="s">
        <v>4036</v>
      </c>
      <c r="BD378" s="117" t="s">
        <v>4725</v>
      </c>
      <c r="BE378" s="117" t="s">
        <v>4725</v>
      </c>
      <c r="BF378" s="2"/>
      <c r="BG378" s="3"/>
      <c r="BH378" s="3"/>
      <c r="BI378" s="3"/>
      <c r="BJ378" s="3"/>
    </row>
    <row r="379" spans="1:62" ht="15">
      <c r="A379" s="66" t="s">
        <v>566</v>
      </c>
      <c r="B379" s="67"/>
      <c r="C379" s="67"/>
      <c r="D379" s="68">
        <v>50</v>
      </c>
      <c r="E379" s="70"/>
      <c r="F379" s="105" t="str">
        <f>HYPERLINK("https://yt3.ggpht.com/ytc/AIf8zZS5zFvtX586pM3uBPv4v2tSexFtb-BtjEy5QA=s88-c-k-c0x00ffffff-no-rj")</f>
        <v>https://yt3.ggpht.com/ytc/AIf8zZS5zFvtX586pM3uBPv4v2tSexFtb-BtjEy5QA=s88-c-k-c0x00ffffff-no-rj</v>
      </c>
      <c r="G379" s="67"/>
      <c r="H379" s="71" t="s">
        <v>2798</v>
      </c>
      <c r="I379" s="72"/>
      <c r="J379" s="72" t="s">
        <v>159</v>
      </c>
      <c r="K379" s="71" t="s">
        <v>2798</v>
      </c>
      <c r="L379" s="75">
        <v>1</v>
      </c>
      <c r="M379" s="76">
        <v>6189.353515625</v>
      </c>
      <c r="N379" s="76">
        <v>9526.6650390625</v>
      </c>
      <c r="O379" s="77"/>
      <c r="P379" s="78"/>
      <c r="Q379" s="78"/>
      <c r="R379" s="90"/>
      <c r="S379" s="49">
        <v>0</v>
      </c>
      <c r="T379" s="49">
        <v>1</v>
      </c>
      <c r="U379" s="50">
        <v>0</v>
      </c>
      <c r="V379" s="50">
        <v>0.209338</v>
      </c>
      <c r="W379" s="51"/>
      <c r="X379" s="51"/>
      <c r="Y379" s="51"/>
      <c r="Z379" s="50"/>
      <c r="AA379" s="73">
        <v>379</v>
      </c>
      <c r="AB379" s="73"/>
      <c r="AC379" s="74"/>
      <c r="AD379" s="81" t="s">
        <v>2798</v>
      </c>
      <c r="AE379" s="81"/>
      <c r="AF379" s="81"/>
      <c r="AG379" s="81"/>
      <c r="AH379" s="81"/>
      <c r="AI379" s="81" t="s">
        <v>2032</v>
      </c>
      <c r="AJ379" s="88">
        <v>42575.14809027778</v>
      </c>
      <c r="AK379" s="86" t="str">
        <f>HYPERLINK("https://yt3.ggpht.com/ytc/AIf8zZS5zFvtX586pM3uBPv4v2tSexFtb-BtjEy5QA=s88-c-k-c0x00ffffff-no-rj")</f>
        <v>https://yt3.ggpht.com/ytc/AIf8zZS5zFvtX586pM3uBPv4v2tSexFtb-BtjEy5QA=s88-c-k-c0x00ffffff-no-rj</v>
      </c>
      <c r="AL379" s="81">
        <v>0</v>
      </c>
      <c r="AM379" s="81">
        <v>0</v>
      </c>
      <c r="AN379" s="81">
        <v>0</v>
      </c>
      <c r="AO379" s="81" t="b">
        <v>0</v>
      </c>
      <c r="AP379" s="81">
        <v>0</v>
      </c>
      <c r="AQ379" s="81"/>
      <c r="AR379" s="81"/>
      <c r="AS379" s="81" t="s">
        <v>3378</v>
      </c>
      <c r="AT379" s="86" t="str">
        <f>HYPERLINK("https://www.youtube.com/channel/UCvrOP4wl_i4HRpxMXAxcu0Q")</f>
        <v>https://www.youtube.com/channel/UCvrOP4wl_i4HRpxMXAxcu0Q</v>
      </c>
      <c r="AU379" s="81" t="str">
        <f>REPLACE(INDEX(GroupVertices[Group],MATCH("~"&amp;Vertices[[#This Row],[Vertex]],GroupVertices[Vertex],0)),1,1,"")</f>
        <v>3</v>
      </c>
      <c r="AV379" s="49"/>
      <c r="AW379" s="49"/>
      <c r="AX379" s="49"/>
      <c r="AY379" s="49"/>
      <c r="AZ379" s="49"/>
      <c r="BA379" s="49"/>
      <c r="BB379" s="117" t="s">
        <v>4037</v>
      </c>
      <c r="BC379" s="117" t="s">
        <v>4037</v>
      </c>
      <c r="BD379" s="117" t="s">
        <v>4726</v>
      </c>
      <c r="BE379" s="117" t="s">
        <v>4726</v>
      </c>
      <c r="BF379" s="2"/>
      <c r="BG379" s="3"/>
      <c r="BH379" s="3"/>
      <c r="BI379" s="3"/>
      <c r="BJ379" s="3"/>
    </row>
    <row r="380" spans="1:62" ht="15">
      <c r="A380" s="66" t="s">
        <v>567</v>
      </c>
      <c r="B380" s="67"/>
      <c r="C380" s="67"/>
      <c r="D380" s="68">
        <v>50</v>
      </c>
      <c r="E380" s="70"/>
      <c r="F380" s="105" t="str">
        <f>HYPERLINK("https://yt3.ggpht.com/ytc/AIf8zZTcJjamHRp1YW_TuSHhp0moUFo_0Ft8kvFLK3pWQwE=s88-c-k-c0x00ffffff-no-rj")</f>
        <v>https://yt3.ggpht.com/ytc/AIf8zZTcJjamHRp1YW_TuSHhp0moUFo_0Ft8kvFLK3pWQwE=s88-c-k-c0x00ffffff-no-rj</v>
      </c>
      <c r="G380" s="67"/>
      <c r="H380" s="71" t="s">
        <v>2799</v>
      </c>
      <c r="I380" s="72"/>
      <c r="J380" s="72" t="s">
        <v>159</v>
      </c>
      <c r="K380" s="71" t="s">
        <v>2799</v>
      </c>
      <c r="L380" s="75">
        <v>1</v>
      </c>
      <c r="M380" s="76">
        <v>4599.5048828125</v>
      </c>
      <c r="N380" s="76">
        <v>9380.4189453125</v>
      </c>
      <c r="O380" s="77"/>
      <c r="P380" s="78"/>
      <c r="Q380" s="78"/>
      <c r="R380" s="90"/>
      <c r="S380" s="49">
        <v>0</v>
      </c>
      <c r="T380" s="49">
        <v>1</v>
      </c>
      <c r="U380" s="50">
        <v>0</v>
      </c>
      <c r="V380" s="50">
        <v>0.209338</v>
      </c>
      <c r="W380" s="51"/>
      <c r="X380" s="51"/>
      <c r="Y380" s="51"/>
      <c r="Z380" s="50"/>
      <c r="AA380" s="73">
        <v>380</v>
      </c>
      <c r="AB380" s="73"/>
      <c r="AC380" s="74"/>
      <c r="AD380" s="81" t="s">
        <v>2799</v>
      </c>
      <c r="AE380" s="81"/>
      <c r="AF380" s="81"/>
      <c r="AG380" s="81"/>
      <c r="AH380" s="81"/>
      <c r="AI380" s="81" t="s">
        <v>3306</v>
      </c>
      <c r="AJ380" s="88">
        <v>40627.33881944444</v>
      </c>
      <c r="AK380" s="86" t="str">
        <f>HYPERLINK("https://yt3.ggpht.com/ytc/AIf8zZTcJjamHRp1YW_TuSHhp0moUFo_0Ft8kvFLK3pWQwE=s88-c-k-c0x00ffffff-no-rj")</f>
        <v>https://yt3.ggpht.com/ytc/AIf8zZTcJjamHRp1YW_TuSHhp0moUFo_0Ft8kvFLK3pWQwE=s88-c-k-c0x00ffffff-no-rj</v>
      </c>
      <c r="AL380" s="81">
        <v>0</v>
      </c>
      <c r="AM380" s="81">
        <v>0</v>
      </c>
      <c r="AN380" s="81">
        <v>4</v>
      </c>
      <c r="AO380" s="81" t="b">
        <v>0</v>
      </c>
      <c r="AP380" s="81">
        <v>0</v>
      </c>
      <c r="AQ380" s="81"/>
      <c r="AR380" s="81"/>
      <c r="AS380" s="81" t="s">
        <v>3378</v>
      </c>
      <c r="AT380" s="86" t="str">
        <f>HYPERLINK("https://www.youtube.com/channel/UCMY3RDHDiSf_7LVAGOYAFyQ")</f>
        <v>https://www.youtube.com/channel/UCMY3RDHDiSf_7LVAGOYAFyQ</v>
      </c>
      <c r="AU380" s="81" t="str">
        <f>REPLACE(INDEX(GroupVertices[Group],MATCH("~"&amp;Vertices[[#This Row],[Vertex]],GroupVertices[Vertex],0)),1,1,"")</f>
        <v>3</v>
      </c>
      <c r="AV380" s="49"/>
      <c r="AW380" s="49"/>
      <c r="AX380" s="49"/>
      <c r="AY380" s="49"/>
      <c r="AZ380" s="49"/>
      <c r="BA380" s="49"/>
      <c r="BB380" s="117" t="s">
        <v>4038</v>
      </c>
      <c r="BC380" s="117" t="s">
        <v>4038</v>
      </c>
      <c r="BD380" s="117" t="s">
        <v>4727</v>
      </c>
      <c r="BE380" s="117" t="s">
        <v>4727</v>
      </c>
      <c r="BF380" s="2"/>
      <c r="BG380" s="3"/>
      <c r="BH380" s="3"/>
      <c r="BI380" s="3"/>
      <c r="BJ380" s="3"/>
    </row>
    <row r="381" spans="1:62" ht="15">
      <c r="A381" s="66" t="s">
        <v>568</v>
      </c>
      <c r="B381" s="67"/>
      <c r="C381" s="67"/>
      <c r="D381" s="68">
        <v>50</v>
      </c>
      <c r="E381" s="70"/>
      <c r="F381" s="105" t="str">
        <f>HYPERLINK("https://yt3.ggpht.com/ytc/AIf8zZTIABiAf4KLjTYMJMNkLBFtqfz5KOXjU2Jm_A=s88-c-k-c0x00ffffff-no-rj")</f>
        <v>https://yt3.ggpht.com/ytc/AIf8zZTIABiAf4KLjTYMJMNkLBFtqfz5KOXjU2Jm_A=s88-c-k-c0x00ffffff-no-rj</v>
      </c>
      <c r="G381" s="67"/>
      <c r="H381" s="71" t="s">
        <v>2800</v>
      </c>
      <c r="I381" s="72"/>
      <c r="J381" s="72" t="s">
        <v>159</v>
      </c>
      <c r="K381" s="71" t="s">
        <v>2800</v>
      </c>
      <c r="L381" s="75">
        <v>1</v>
      </c>
      <c r="M381" s="76">
        <v>6786.09130859375</v>
      </c>
      <c r="N381" s="76">
        <v>7096.4287109375</v>
      </c>
      <c r="O381" s="77"/>
      <c r="P381" s="78"/>
      <c r="Q381" s="78"/>
      <c r="R381" s="90"/>
      <c r="S381" s="49">
        <v>0</v>
      </c>
      <c r="T381" s="49">
        <v>1</v>
      </c>
      <c r="U381" s="50">
        <v>0</v>
      </c>
      <c r="V381" s="50">
        <v>0.209338</v>
      </c>
      <c r="W381" s="51"/>
      <c r="X381" s="51"/>
      <c r="Y381" s="51"/>
      <c r="Z381" s="50"/>
      <c r="AA381" s="73">
        <v>381</v>
      </c>
      <c r="AB381" s="73"/>
      <c r="AC381" s="74"/>
      <c r="AD381" s="81" t="s">
        <v>2800</v>
      </c>
      <c r="AE381" s="81"/>
      <c r="AF381" s="81"/>
      <c r="AG381" s="81"/>
      <c r="AH381" s="81"/>
      <c r="AI381" s="81" t="s">
        <v>2034</v>
      </c>
      <c r="AJ381" s="88">
        <v>38879.078055555554</v>
      </c>
      <c r="AK381" s="86" t="str">
        <f>HYPERLINK("https://yt3.ggpht.com/ytc/AIf8zZTIABiAf4KLjTYMJMNkLBFtqfz5KOXjU2Jm_A=s88-c-k-c0x00ffffff-no-rj")</f>
        <v>https://yt3.ggpht.com/ytc/AIf8zZTIABiAf4KLjTYMJMNkLBFtqfz5KOXjU2Jm_A=s88-c-k-c0x00ffffff-no-rj</v>
      </c>
      <c r="AL381" s="81">
        <v>0</v>
      </c>
      <c r="AM381" s="81">
        <v>0</v>
      </c>
      <c r="AN381" s="81">
        <v>0</v>
      </c>
      <c r="AO381" s="81" t="b">
        <v>0</v>
      </c>
      <c r="AP381" s="81">
        <v>0</v>
      </c>
      <c r="AQ381" s="81"/>
      <c r="AR381" s="81"/>
      <c r="AS381" s="81" t="s">
        <v>3378</v>
      </c>
      <c r="AT381" s="86" t="str">
        <f>HYPERLINK("https://www.youtube.com/channel/UCbBW5z9N9pZC8K_E6b44xgg")</f>
        <v>https://www.youtube.com/channel/UCbBW5z9N9pZC8K_E6b44xgg</v>
      </c>
      <c r="AU381" s="81" t="str">
        <f>REPLACE(INDEX(GroupVertices[Group],MATCH("~"&amp;Vertices[[#This Row],[Vertex]],GroupVertices[Vertex],0)),1,1,"")</f>
        <v>3</v>
      </c>
      <c r="AV381" s="49"/>
      <c r="AW381" s="49"/>
      <c r="AX381" s="49"/>
      <c r="AY381" s="49"/>
      <c r="AZ381" s="49"/>
      <c r="BA381" s="49"/>
      <c r="BB381" s="117" t="s">
        <v>4039</v>
      </c>
      <c r="BC381" s="117" t="s">
        <v>4039</v>
      </c>
      <c r="BD381" s="117" t="s">
        <v>4728</v>
      </c>
      <c r="BE381" s="117" t="s">
        <v>4728</v>
      </c>
      <c r="BF381" s="2"/>
      <c r="BG381" s="3"/>
      <c r="BH381" s="3"/>
      <c r="BI381" s="3"/>
      <c r="BJ381" s="3"/>
    </row>
    <row r="382" spans="1:62" ht="15">
      <c r="A382" s="66" t="s">
        <v>569</v>
      </c>
      <c r="B382" s="67"/>
      <c r="C382" s="67"/>
      <c r="D382" s="68">
        <v>50</v>
      </c>
      <c r="E382" s="70"/>
      <c r="F382" s="105" t="str">
        <f>HYPERLINK("https://yt3.ggpht.com/ytc/AIf8zZRmFfCFHxqr29eNIa7wN5uG_yVPiQSBVRbW1g=s88-c-k-c0x00ffffff-no-rj")</f>
        <v>https://yt3.ggpht.com/ytc/AIf8zZRmFfCFHxqr29eNIa7wN5uG_yVPiQSBVRbW1g=s88-c-k-c0x00ffffff-no-rj</v>
      </c>
      <c r="G382" s="67"/>
      <c r="H382" s="71" t="s">
        <v>2801</v>
      </c>
      <c r="I382" s="72"/>
      <c r="J382" s="72" t="s">
        <v>159</v>
      </c>
      <c r="K382" s="71" t="s">
        <v>2801</v>
      </c>
      <c r="L382" s="75">
        <v>1</v>
      </c>
      <c r="M382" s="76">
        <v>4689.81005859375</v>
      </c>
      <c r="N382" s="76">
        <v>6427.05126953125</v>
      </c>
      <c r="O382" s="77"/>
      <c r="P382" s="78"/>
      <c r="Q382" s="78"/>
      <c r="R382" s="90"/>
      <c r="S382" s="49">
        <v>0</v>
      </c>
      <c r="T382" s="49">
        <v>1</v>
      </c>
      <c r="U382" s="50">
        <v>0</v>
      </c>
      <c r="V382" s="50">
        <v>0.209338</v>
      </c>
      <c r="W382" s="51"/>
      <c r="X382" s="51"/>
      <c r="Y382" s="51"/>
      <c r="Z382" s="50"/>
      <c r="AA382" s="73">
        <v>382</v>
      </c>
      <c r="AB382" s="73"/>
      <c r="AC382" s="74"/>
      <c r="AD382" s="81" t="s">
        <v>2801</v>
      </c>
      <c r="AE382" s="81"/>
      <c r="AF382" s="81"/>
      <c r="AG382" s="81"/>
      <c r="AH382" s="81"/>
      <c r="AI382" s="81" t="s">
        <v>2035</v>
      </c>
      <c r="AJ382" s="88">
        <v>43989.610451388886</v>
      </c>
      <c r="AK382" s="86" t="str">
        <f>HYPERLINK("https://yt3.ggpht.com/ytc/AIf8zZRmFfCFHxqr29eNIa7wN5uG_yVPiQSBVRbW1g=s88-c-k-c0x00ffffff-no-rj")</f>
        <v>https://yt3.ggpht.com/ytc/AIf8zZRmFfCFHxqr29eNIa7wN5uG_yVPiQSBVRbW1g=s88-c-k-c0x00ffffff-no-rj</v>
      </c>
      <c r="AL382" s="81">
        <v>0</v>
      </c>
      <c r="AM382" s="81">
        <v>0</v>
      </c>
      <c r="AN382" s="81">
        <v>0</v>
      </c>
      <c r="AO382" s="81" t="b">
        <v>0</v>
      </c>
      <c r="AP382" s="81">
        <v>0</v>
      </c>
      <c r="AQ382" s="81"/>
      <c r="AR382" s="81"/>
      <c r="AS382" s="81" t="s">
        <v>3378</v>
      </c>
      <c r="AT382" s="86" t="str">
        <f>HYPERLINK("https://www.youtube.com/channel/UCEZ4d9gaq9lswcI9Cg_KDdw")</f>
        <v>https://www.youtube.com/channel/UCEZ4d9gaq9lswcI9Cg_KDdw</v>
      </c>
      <c r="AU382" s="81" t="str">
        <f>REPLACE(INDEX(GroupVertices[Group],MATCH("~"&amp;Vertices[[#This Row],[Vertex]],GroupVertices[Vertex],0)),1,1,"")</f>
        <v>3</v>
      </c>
      <c r="AV382" s="49"/>
      <c r="AW382" s="49"/>
      <c r="AX382" s="49"/>
      <c r="AY382" s="49"/>
      <c r="AZ382" s="49"/>
      <c r="BA382" s="49"/>
      <c r="BB382" s="117" t="s">
        <v>4040</v>
      </c>
      <c r="BC382" s="117" t="s">
        <v>4040</v>
      </c>
      <c r="BD382" s="117" t="s">
        <v>4729</v>
      </c>
      <c r="BE382" s="117" t="s">
        <v>4729</v>
      </c>
      <c r="BF382" s="2"/>
      <c r="BG382" s="3"/>
      <c r="BH382" s="3"/>
      <c r="BI382" s="3"/>
      <c r="BJ382" s="3"/>
    </row>
    <row r="383" spans="1:62" ht="15">
      <c r="A383" s="66" t="s">
        <v>570</v>
      </c>
      <c r="B383" s="67"/>
      <c r="C383" s="67"/>
      <c r="D383" s="68">
        <v>50</v>
      </c>
      <c r="E383" s="70"/>
      <c r="F383" s="105" t="str">
        <f>HYPERLINK("https://yt3.ggpht.com/ytc/AIf8zZSxyL35cvmooEyTh8kzCZhICqLOXen2O9sC6g=s88-c-k-c0x00ffffff-no-rj")</f>
        <v>https://yt3.ggpht.com/ytc/AIf8zZSxyL35cvmooEyTh8kzCZhICqLOXen2O9sC6g=s88-c-k-c0x00ffffff-no-rj</v>
      </c>
      <c r="G383" s="67"/>
      <c r="H383" s="71" t="s">
        <v>2802</v>
      </c>
      <c r="I383" s="72"/>
      <c r="J383" s="72" t="s">
        <v>159</v>
      </c>
      <c r="K383" s="71" t="s">
        <v>2802</v>
      </c>
      <c r="L383" s="75">
        <v>1</v>
      </c>
      <c r="M383" s="76">
        <v>6633.86474609375</v>
      </c>
      <c r="N383" s="76">
        <v>8920.73046875</v>
      </c>
      <c r="O383" s="77"/>
      <c r="P383" s="78"/>
      <c r="Q383" s="78"/>
      <c r="R383" s="90"/>
      <c r="S383" s="49">
        <v>0</v>
      </c>
      <c r="T383" s="49">
        <v>1</v>
      </c>
      <c r="U383" s="50">
        <v>0</v>
      </c>
      <c r="V383" s="50">
        <v>0.209338</v>
      </c>
      <c r="W383" s="51"/>
      <c r="X383" s="51"/>
      <c r="Y383" s="51"/>
      <c r="Z383" s="50"/>
      <c r="AA383" s="73">
        <v>383</v>
      </c>
      <c r="AB383" s="73"/>
      <c r="AC383" s="74"/>
      <c r="AD383" s="81" t="s">
        <v>2802</v>
      </c>
      <c r="AE383" s="81"/>
      <c r="AF383" s="81"/>
      <c r="AG383" s="81"/>
      <c r="AH383" s="81"/>
      <c r="AI383" s="81" t="s">
        <v>2036</v>
      </c>
      <c r="AJ383" s="88">
        <v>42515.740798611114</v>
      </c>
      <c r="AK383" s="86" t="str">
        <f>HYPERLINK("https://yt3.ggpht.com/ytc/AIf8zZSxyL35cvmooEyTh8kzCZhICqLOXen2O9sC6g=s88-c-k-c0x00ffffff-no-rj")</f>
        <v>https://yt3.ggpht.com/ytc/AIf8zZSxyL35cvmooEyTh8kzCZhICqLOXen2O9sC6g=s88-c-k-c0x00ffffff-no-rj</v>
      </c>
      <c r="AL383" s="81">
        <v>0</v>
      </c>
      <c r="AM383" s="81">
        <v>0</v>
      </c>
      <c r="AN383" s="81">
        <v>0</v>
      </c>
      <c r="AO383" s="81" t="b">
        <v>0</v>
      </c>
      <c r="AP383" s="81">
        <v>0</v>
      </c>
      <c r="AQ383" s="81"/>
      <c r="AR383" s="81"/>
      <c r="AS383" s="81" t="s">
        <v>3378</v>
      </c>
      <c r="AT383" s="86" t="str">
        <f>HYPERLINK("https://www.youtube.com/channel/UCz-UYU6VdZ8vtY7vMwlREtQ")</f>
        <v>https://www.youtube.com/channel/UCz-UYU6VdZ8vtY7vMwlREtQ</v>
      </c>
      <c r="AU383" s="81" t="str">
        <f>REPLACE(INDEX(GroupVertices[Group],MATCH("~"&amp;Vertices[[#This Row],[Vertex]],GroupVertices[Vertex],0)),1,1,"")</f>
        <v>3</v>
      </c>
      <c r="AV383" s="49"/>
      <c r="AW383" s="49"/>
      <c r="AX383" s="49"/>
      <c r="AY383" s="49"/>
      <c r="AZ383" s="49"/>
      <c r="BA383" s="49"/>
      <c r="BB383" s="117" t="s">
        <v>4041</v>
      </c>
      <c r="BC383" s="117" t="s">
        <v>4041</v>
      </c>
      <c r="BD383" s="117" t="s">
        <v>4730</v>
      </c>
      <c r="BE383" s="117" t="s">
        <v>4730</v>
      </c>
      <c r="BF383" s="2"/>
      <c r="BG383" s="3"/>
      <c r="BH383" s="3"/>
      <c r="BI383" s="3"/>
      <c r="BJ383" s="3"/>
    </row>
    <row r="384" spans="1:62" ht="15">
      <c r="A384" s="66" t="s">
        <v>571</v>
      </c>
      <c r="B384" s="67"/>
      <c r="C384" s="67"/>
      <c r="D384" s="68">
        <v>50</v>
      </c>
      <c r="E384" s="70"/>
      <c r="F384" s="105" t="str">
        <f>HYPERLINK("https://yt3.ggpht.com/ytc/AIf8zZSRV32t9og1EHaG1tMo4R5PKyF0RsOc4lHqUuXueg=s88-c-k-c0x00ffffff-no-rj")</f>
        <v>https://yt3.ggpht.com/ytc/AIf8zZSRV32t9og1EHaG1tMo4R5PKyF0RsOc4lHqUuXueg=s88-c-k-c0x00ffffff-no-rj</v>
      </c>
      <c r="G384" s="67"/>
      <c r="H384" s="71" t="s">
        <v>2803</v>
      </c>
      <c r="I384" s="72"/>
      <c r="J384" s="72" t="s">
        <v>159</v>
      </c>
      <c r="K384" s="71" t="s">
        <v>2803</v>
      </c>
      <c r="L384" s="75">
        <v>1</v>
      </c>
      <c r="M384" s="76">
        <v>6752.89208984375</v>
      </c>
      <c r="N384" s="76">
        <v>8640.0029296875</v>
      </c>
      <c r="O384" s="77"/>
      <c r="P384" s="78"/>
      <c r="Q384" s="78"/>
      <c r="R384" s="90"/>
      <c r="S384" s="49">
        <v>0</v>
      </c>
      <c r="T384" s="49">
        <v>1</v>
      </c>
      <c r="U384" s="50">
        <v>0</v>
      </c>
      <c r="V384" s="50">
        <v>0.209338</v>
      </c>
      <c r="W384" s="51"/>
      <c r="X384" s="51"/>
      <c r="Y384" s="51"/>
      <c r="Z384" s="50"/>
      <c r="AA384" s="73">
        <v>384</v>
      </c>
      <c r="AB384" s="73"/>
      <c r="AC384" s="74"/>
      <c r="AD384" s="81" t="s">
        <v>2803</v>
      </c>
      <c r="AE384" s="81"/>
      <c r="AF384" s="81"/>
      <c r="AG384" s="81"/>
      <c r="AH384" s="81"/>
      <c r="AI384" s="81" t="s">
        <v>2037</v>
      </c>
      <c r="AJ384" s="88">
        <v>41048.28319444445</v>
      </c>
      <c r="AK384" s="86" t="str">
        <f>HYPERLINK("https://yt3.ggpht.com/ytc/AIf8zZSRV32t9og1EHaG1tMo4R5PKyF0RsOc4lHqUuXueg=s88-c-k-c0x00ffffff-no-rj")</f>
        <v>https://yt3.ggpht.com/ytc/AIf8zZSRV32t9og1EHaG1tMo4R5PKyF0RsOc4lHqUuXueg=s88-c-k-c0x00ffffff-no-rj</v>
      </c>
      <c r="AL384" s="81">
        <v>0</v>
      </c>
      <c r="AM384" s="81">
        <v>0</v>
      </c>
      <c r="AN384" s="81">
        <v>1</v>
      </c>
      <c r="AO384" s="81" t="b">
        <v>0</v>
      </c>
      <c r="AP384" s="81">
        <v>0</v>
      </c>
      <c r="AQ384" s="81"/>
      <c r="AR384" s="81"/>
      <c r="AS384" s="81" t="s">
        <v>3378</v>
      </c>
      <c r="AT384" s="86" t="str">
        <f>HYPERLINK("https://www.youtube.com/channel/UCj5Dg38klYXD4xTk0KEvSiA")</f>
        <v>https://www.youtube.com/channel/UCj5Dg38klYXD4xTk0KEvSiA</v>
      </c>
      <c r="AU384" s="81" t="str">
        <f>REPLACE(INDEX(GroupVertices[Group],MATCH("~"&amp;Vertices[[#This Row],[Vertex]],GroupVertices[Vertex],0)),1,1,"")</f>
        <v>3</v>
      </c>
      <c r="AV384" s="49"/>
      <c r="AW384" s="49"/>
      <c r="AX384" s="49"/>
      <c r="AY384" s="49"/>
      <c r="AZ384" s="49"/>
      <c r="BA384" s="49"/>
      <c r="BB384" s="117" t="s">
        <v>2423</v>
      </c>
      <c r="BC384" s="117" t="s">
        <v>2423</v>
      </c>
      <c r="BD384" s="117" t="s">
        <v>2423</v>
      </c>
      <c r="BE384" s="117" t="s">
        <v>2423</v>
      </c>
      <c r="BF384" s="2"/>
      <c r="BG384" s="3"/>
      <c r="BH384" s="3"/>
      <c r="BI384" s="3"/>
      <c r="BJ384" s="3"/>
    </row>
    <row r="385" spans="1:62" ht="15">
      <c r="A385" s="66" t="s">
        <v>572</v>
      </c>
      <c r="B385" s="67"/>
      <c r="C385" s="67"/>
      <c r="D385" s="68">
        <v>50</v>
      </c>
      <c r="E385" s="70"/>
      <c r="F385" s="105" t="str">
        <f>HYPERLINK("https://yt3.ggpht.com/ytc/AIf8zZTo9OeF4F3eSiCY9thKLqjWi_C6gV2WSBsy_w=s88-c-k-c0x00ffffff-no-rj")</f>
        <v>https://yt3.ggpht.com/ytc/AIf8zZTo9OeF4F3eSiCY9thKLqjWi_C6gV2WSBsy_w=s88-c-k-c0x00ffffff-no-rj</v>
      </c>
      <c r="G385" s="67"/>
      <c r="H385" s="71" t="s">
        <v>2804</v>
      </c>
      <c r="I385" s="72"/>
      <c r="J385" s="72" t="s">
        <v>159</v>
      </c>
      <c r="K385" s="71" t="s">
        <v>2804</v>
      </c>
      <c r="L385" s="75">
        <v>1</v>
      </c>
      <c r="M385" s="76">
        <v>6372.2119140625</v>
      </c>
      <c r="N385" s="76">
        <v>9341.1650390625</v>
      </c>
      <c r="O385" s="77"/>
      <c r="P385" s="78"/>
      <c r="Q385" s="78"/>
      <c r="R385" s="90"/>
      <c r="S385" s="49">
        <v>0</v>
      </c>
      <c r="T385" s="49">
        <v>1</v>
      </c>
      <c r="U385" s="50">
        <v>0</v>
      </c>
      <c r="V385" s="50">
        <v>0.209338</v>
      </c>
      <c r="W385" s="51"/>
      <c r="X385" s="51"/>
      <c r="Y385" s="51"/>
      <c r="Z385" s="50"/>
      <c r="AA385" s="73">
        <v>385</v>
      </c>
      <c r="AB385" s="73"/>
      <c r="AC385" s="74"/>
      <c r="AD385" s="81" t="s">
        <v>2804</v>
      </c>
      <c r="AE385" s="81"/>
      <c r="AF385" s="81"/>
      <c r="AG385" s="81"/>
      <c r="AH385" s="81"/>
      <c r="AI385" s="81" t="s">
        <v>2038</v>
      </c>
      <c r="AJ385" s="88">
        <v>39401.77085648148</v>
      </c>
      <c r="AK385" s="86" t="str">
        <f>HYPERLINK("https://yt3.ggpht.com/ytc/AIf8zZTo9OeF4F3eSiCY9thKLqjWi_C6gV2WSBsy_w=s88-c-k-c0x00ffffff-no-rj")</f>
        <v>https://yt3.ggpht.com/ytc/AIf8zZTo9OeF4F3eSiCY9thKLqjWi_C6gV2WSBsy_w=s88-c-k-c0x00ffffff-no-rj</v>
      </c>
      <c r="AL385" s="81">
        <v>0</v>
      </c>
      <c r="AM385" s="81">
        <v>0</v>
      </c>
      <c r="AN385" s="81">
        <v>1</v>
      </c>
      <c r="AO385" s="81" t="b">
        <v>0</v>
      </c>
      <c r="AP385" s="81">
        <v>0</v>
      </c>
      <c r="AQ385" s="81"/>
      <c r="AR385" s="81"/>
      <c r="AS385" s="81" t="s">
        <v>3378</v>
      </c>
      <c r="AT385" s="86" t="str">
        <f>HYPERLINK("https://www.youtube.com/channel/UCdBoH5LApfFz2kBrNdquchQ")</f>
        <v>https://www.youtube.com/channel/UCdBoH5LApfFz2kBrNdquchQ</v>
      </c>
      <c r="AU385" s="81" t="str">
        <f>REPLACE(INDEX(GroupVertices[Group],MATCH("~"&amp;Vertices[[#This Row],[Vertex]],GroupVertices[Vertex],0)),1,1,"")</f>
        <v>3</v>
      </c>
      <c r="AV385" s="49" t="s">
        <v>3450</v>
      </c>
      <c r="AW385" s="49" t="s">
        <v>3450</v>
      </c>
      <c r="AX385" s="49" t="s">
        <v>2414</v>
      </c>
      <c r="AY385" s="49" t="s">
        <v>2414</v>
      </c>
      <c r="AZ385" s="49"/>
      <c r="BA385" s="49"/>
      <c r="BB385" s="117" t="s">
        <v>4042</v>
      </c>
      <c r="BC385" s="117" t="s">
        <v>4042</v>
      </c>
      <c r="BD385" s="117" t="s">
        <v>4731</v>
      </c>
      <c r="BE385" s="117" t="s">
        <v>4731</v>
      </c>
      <c r="BF385" s="2"/>
      <c r="BG385" s="3"/>
      <c r="BH385" s="3"/>
      <c r="BI385" s="3"/>
      <c r="BJ385" s="3"/>
    </row>
    <row r="386" spans="1:62" ht="15">
      <c r="A386" s="66" t="s">
        <v>573</v>
      </c>
      <c r="B386" s="67"/>
      <c r="C386" s="67"/>
      <c r="D386" s="68">
        <v>50</v>
      </c>
      <c r="E386" s="70"/>
      <c r="F386" s="105" t="str">
        <f>HYPERLINK("https://yt3.ggpht.com/xBONJC7nxootVoxXdWjYqpPh4ZbRQMdn42ldgktzjL4Syt6UmZQ_7rM1HhSmcut2MUHe-F_kbg=s88-c-k-c0x00ffffff-no-rj")</f>
        <v>https://yt3.ggpht.com/xBONJC7nxootVoxXdWjYqpPh4ZbRQMdn42ldgktzjL4Syt6UmZQ_7rM1HhSmcut2MUHe-F_kbg=s88-c-k-c0x00ffffff-no-rj</v>
      </c>
      <c r="G386" s="67"/>
      <c r="H386" s="71" t="s">
        <v>2805</v>
      </c>
      <c r="I386" s="72"/>
      <c r="J386" s="72" t="s">
        <v>159</v>
      </c>
      <c r="K386" s="71" t="s">
        <v>2805</v>
      </c>
      <c r="L386" s="75">
        <v>1</v>
      </c>
      <c r="M386" s="76">
        <v>5242.03564453125</v>
      </c>
      <c r="N386" s="76">
        <v>8359.5869140625</v>
      </c>
      <c r="O386" s="77"/>
      <c r="P386" s="78"/>
      <c r="Q386" s="78"/>
      <c r="R386" s="90"/>
      <c r="S386" s="49">
        <v>0</v>
      </c>
      <c r="T386" s="49">
        <v>1</v>
      </c>
      <c r="U386" s="50">
        <v>0</v>
      </c>
      <c r="V386" s="50">
        <v>0.209338</v>
      </c>
      <c r="W386" s="51"/>
      <c r="X386" s="51"/>
      <c r="Y386" s="51"/>
      <c r="Z386" s="50"/>
      <c r="AA386" s="73">
        <v>386</v>
      </c>
      <c r="AB386" s="73"/>
      <c r="AC386" s="74"/>
      <c r="AD386" s="81" t="s">
        <v>2805</v>
      </c>
      <c r="AE386" s="81"/>
      <c r="AF386" s="81"/>
      <c r="AG386" s="81"/>
      <c r="AH386" s="81"/>
      <c r="AI386" s="81" t="s">
        <v>2039</v>
      </c>
      <c r="AJ386" s="88">
        <v>38822.5296875</v>
      </c>
      <c r="AK386" s="86" t="str">
        <f>HYPERLINK("https://yt3.ggpht.com/xBONJC7nxootVoxXdWjYqpPh4ZbRQMdn42ldgktzjL4Syt6UmZQ_7rM1HhSmcut2MUHe-F_kbg=s88-c-k-c0x00ffffff-no-rj")</f>
        <v>https://yt3.ggpht.com/xBONJC7nxootVoxXdWjYqpPh4ZbRQMdn42ldgktzjL4Syt6UmZQ_7rM1HhSmcut2MUHe-F_kbg=s88-c-k-c0x00ffffff-no-rj</v>
      </c>
      <c r="AL386" s="81">
        <v>1169</v>
      </c>
      <c r="AM386" s="81">
        <v>0</v>
      </c>
      <c r="AN386" s="81">
        <v>4</v>
      </c>
      <c r="AO386" s="81" t="b">
        <v>0</v>
      </c>
      <c r="AP386" s="81">
        <v>2</v>
      </c>
      <c r="AQ386" s="81"/>
      <c r="AR386" s="81"/>
      <c r="AS386" s="81" t="s">
        <v>3378</v>
      </c>
      <c r="AT386" s="86" t="str">
        <f>HYPERLINK("https://www.youtube.com/channel/UCjLkBizRPwHhXNKosc22acw")</f>
        <v>https://www.youtube.com/channel/UCjLkBizRPwHhXNKosc22acw</v>
      </c>
      <c r="AU386" s="81" t="str">
        <f>REPLACE(INDEX(GroupVertices[Group],MATCH("~"&amp;Vertices[[#This Row],[Vertex]],GroupVertices[Vertex],0)),1,1,"")</f>
        <v>3</v>
      </c>
      <c r="AV386" s="49"/>
      <c r="AW386" s="49"/>
      <c r="AX386" s="49"/>
      <c r="AY386" s="49"/>
      <c r="AZ386" s="49"/>
      <c r="BA386" s="49"/>
      <c r="BB386" s="117" t="s">
        <v>4043</v>
      </c>
      <c r="BC386" s="117" t="s">
        <v>4043</v>
      </c>
      <c r="BD386" s="117" t="s">
        <v>4732</v>
      </c>
      <c r="BE386" s="117" t="s">
        <v>4732</v>
      </c>
      <c r="BF386" s="2"/>
      <c r="BG386" s="3"/>
      <c r="BH386" s="3"/>
      <c r="BI386" s="3"/>
      <c r="BJ386" s="3"/>
    </row>
    <row r="387" spans="1:62" ht="15">
      <c r="A387" s="66" t="s">
        <v>574</v>
      </c>
      <c r="B387" s="67"/>
      <c r="C387" s="67"/>
      <c r="D387" s="68">
        <v>50</v>
      </c>
      <c r="E387" s="70"/>
      <c r="F387" s="105" t="str">
        <f>HYPERLINK("https://yt3.ggpht.com/ytc/AIf8zZQ7SKHZoVx_vC4lU6wi6c-rFat98KqOxgbvX5SlSzl9S9NgMHSrWO5rgse2aHGN=s88-c-k-c0x00ffffff-no-rj")</f>
        <v>https://yt3.ggpht.com/ytc/AIf8zZQ7SKHZoVx_vC4lU6wi6c-rFat98KqOxgbvX5SlSzl9S9NgMHSrWO5rgse2aHGN=s88-c-k-c0x00ffffff-no-rj</v>
      </c>
      <c r="G387" s="67"/>
      <c r="H387" s="71" t="s">
        <v>2806</v>
      </c>
      <c r="I387" s="72"/>
      <c r="J387" s="72" t="s">
        <v>159</v>
      </c>
      <c r="K387" s="71" t="s">
        <v>2806</v>
      </c>
      <c r="L387" s="75">
        <v>1</v>
      </c>
      <c r="M387" s="76">
        <v>4887.90625</v>
      </c>
      <c r="N387" s="76">
        <v>8648.6669921875</v>
      </c>
      <c r="O387" s="77"/>
      <c r="P387" s="78"/>
      <c r="Q387" s="78"/>
      <c r="R387" s="90"/>
      <c r="S387" s="49">
        <v>0</v>
      </c>
      <c r="T387" s="49">
        <v>1</v>
      </c>
      <c r="U387" s="50">
        <v>0</v>
      </c>
      <c r="V387" s="50">
        <v>0.209338</v>
      </c>
      <c r="W387" s="51"/>
      <c r="X387" s="51"/>
      <c r="Y387" s="51"/>
      <c r="Z387" s="50"/>
      <c r="AA387" s="73">
        <v>387</v>
      </c>
      <c r="AB387" s="73"/>
      <c r="AC387" s="74"/>
      <c r="AD387" s="81" t="s">
        <v>2806</v>
      </c>
      <c r="AE387" s="81"/>
      <c r="AF387" s="81"/>
      <c r="AG387" s="81"/>
      <c r="AH387" s="81"/>
      <c r="AI387" s="81" t="s">
        <v>2040</v>
      </c>
      <c r="AJ387" s="88">
        <v>44564.19378472222</v>
      </c>
      <c r="AK387" s="86" t="str">
        <f>HYPERLINK("https://yt3.ggpht.com/ytc/AIf8zZQ7SKHZoVx_vC4lU6wi6c-rFat98KqOxgbvX5SlSzl9S9NgMHSrWO5rgse2aHGN=s88-c-k-c0x00ffffff-no-rj")</f>
        <v>https://yt3.ggpht.com/ytc/AIf8zZQ7SKHZoVx_vC4lU6wi6c-rFat98KqOxgbvX5SlSzl9S9NgMHSrWO5rgse2aHGN=s88-c-k-c0x00ffffff-no-rj</v>
      </c>
      <c r="AL387" s="81">
        <v>3</v>
      </c>
      <c r="AM387" s="81">
        <v>0</v>
      </c>
      <c r="AN387" s="81">
        <v>0</v>
      </c>
      <c r="AO387" s="81" t="b">
        <v>0</v>
      </c>
      <c r="AP387" s="81">
        <v>1</v>
      </c>
      <c r="AQ387" s="81"/>
      <c r="AR387" s="81"/>
      <c r="AS387" s="81" t="s">
        <v>3378</v>
      </c>
      <c r="AT387" s="86" t="str">
        <f>HYPERLINK("https://www.youtube.com/channel/UCX9_xs0o8ST9uWgo-bXhM-w")</f>
        <v>https://www.youtube.com/channel/UCX9_xs0o8ST9uWgo-bXhM-w</v>
      </c>
      <c r="AU387" s="81" t="str">
        <f>REPLACE(INDEX(GroupVertices[Group],MATCH("~"&amp;Vertices[[#This Row],[Vertex]],GroupVertices[Vertex],0)),1,1,"")</f>
        <v>3</v>
      </c>
      <c r="AV387" s="49"/>
      <c r="AW387" s="49"/>
      <c r="AX387" s="49"/>
      <c r="AY387" s="49"/>
      <c r="AZ387" s="49"/>
      <c r="BA387" s="49"/>
      <c r="BB387" s="117" t="s">
        <v>4044</v>
      </c>
      <c r="BC387" s="117" t="s">
        <v>4044</v>
      </c>
      <c r="BD387" s="117" t="s">
        <v>4733</v>
      </c>
      <c r="BE387" s="117" t="s">
        <v>4733</v>
      </c>
      <c r="BF387" s="2"/>
      <c r="BG387" s="3"/>
      <c r="BH387" s="3"/>
      <c r="BI387" s="3"/>
      <c r="BJ387" s="3"/>
    </row>
    <row r="388" spans="1:62" ht="15">
      <c r="A388" s="66" t="s">
        <v>575</v>
      </c>
      <c r="B388" s="67"/>
      <c r="C388" s="67"/>
      <c r="D388" s="68">
        <v>50</v>
      </c>
      <c r="E388" s="70"/>
      <c r="F388" s="105" t="str">
        <f>HYPERLINK("https://yt3.ggpht.com/ck42njg30CQzS6yUk9ws4tCavFM2HT9ihRCZPLDSxLJQiMNR9LRA7f-zRqTHg7jbPaRu2NpQlQ=s88-c-k-c0x00ffffff-no-nd-rj")</f>
        <v>https://yt3.ggpht.com/ck42njg30CQzS6yUk9ws4tCavFM2HT9ihRCZPLDSxLJQiMNR9LRA7f-zRqTHg7jbPaRu2NpQlQ=s88-c-k-c0x00ffffff-no-nd-rj</v>
      </c>
      <c r="G388" s="67"/>
      <c r="H388" s="71" t="s">
        <v>2807</v>
      </c>
      <c r="I388" s="72"/>
      <c r="J388" s="72" t="s">
        <v>159</v>
      </c>
      <c r="K388" s="71" t="s">
        <v>2807</v>
      </c>
      <c r="L388" s="75">
        <v>1</v>
      </c>
      <c r="M388" s="76">
        <v>4888.79296875</v>
      </c>
      <c r="N388" s="76">
        <v>8090.30908203125</v>
      </c>
      <c r="O388" s="77"/>
      <c r="P388" s="78"/>
      <c r="Q388" s="78"/>
      <c r="R388" s="90"/>
      <c r="S388" s="49">
        <v>0</v>
      </c>
      <c r="T388" s="49">
        <v>1</v>
      </c>
      <c r="U388" s="50">
        <v>0</v>
      </c>
      <c r="V388" s="50">
        <v>0.209338</v>
      </c>
      <c r="W388" s="51"/>
      <c r="X388" s="51"/>
      <c r="Y388" s="51"/>
      <c r="Z388" s="50"/>
      <c r="AA388" s="73">
        <v>388</v>
      </c>
      <c r="AB388" s="73"/>
      <c r="AC388" s="74"/>
      <c r="AD388" s="81" t="s">
        <v>2807</v>
      </c>
      <c r="AE388" s="81" t="s">
        <v>3179</v>
      </c>
      <c r="AF388" s="81"/>
      <c r="AG388" s="81"/>
      <c r="AH388" s="81"/>
      <c r="AI388" s="81" t="s">
        <v>2041</v>
      </c>
      <c r="AJ388" s="88">
        <v>39028.18064814815</v>
      </c>
      <c r="AK388" s="86" t="str">
        <f>HYPERLINK("https://yt3.ggpht.com/ck42njg30CQzS6yUk9ws4tCavFM2HT9ihRCZPLDSxLJQiMNR9LRA7f-zRqTHg7jbPaRu2NpQlQ=s88-c-k-c0x00ffffff-no-nd-rj")</f>
        <v>https://yt3.ggpht.com/ck42njg30CQzS6yUk9ws4tCavFM2HT9ihRCZPLDSxLJQiMNR9LRA7f-zRqTHg7jbPaRu2NpQlQ=s88-c-k-c0x00ffffff-no-nd-rj</v>
      </c>
      <c r="AL388" s="81">
        <v>17824033</v>
      </c>
      <c r="AM388" s="81">
        <v>0</v>
      </c>
      <c r="AN388" s="81">
        <v>48300</v>
      </c>
      <c r="AO388" s="81" t="b">
        <v>0</v>
      </c>
      <c r="AP388" s="81">
        <v>41</v>
      </c>
      <c r="AQ388" s="81"/>
      <c r="AR388" s="81"/>
      <c r="AS388" s="81" t="s">
        <v>3378</v>
      </c>
      <c r="AT388" s="86" t="str">
        <f>HYPERLINK("https://www.youtube.com/channel/UCz_1_52Zn3AUvSInasP_RBw")</f>
        <v>https://www.youtube.com/channel/UCz_1_52Zn3AUvSInasP_RBw</v>
      </c>
      <c r="AU388" s="81" t="str">
        <f>REPLACE(INDEX(GroupVertices[Group],MATCH("~"&amp;Vertices[[#This Row],[Vertex]],GroupVertices[Vertex],0)),1,1,"")</f>
        <v>3</v>
      </c>
      <c r="AV388" s="49"/>
      <c r="AW388" s="49"/>
      <c r="AX388" s="49"/>
      <c r="AY388" s="49"/>
      <c r="AZ388" s="49"/>
      <c r="BA388" s="49"/>
      <c r="BB388" s="117" t="s">
        <v>4045</v>
      </c>
      <c r="BC388" s="117" t="s">
        <v>4045</v>
      </c>
      <c r="BD388" s="117" t="s">
        <v>4734</v>
      </c>
      <c r="BE388" s="117" t="s">
        <v>4734</v>
      </c>
      <c r="BF388" s="2"/>
      <c r="BG388" s="3"/>
      <c r="BH388" s="3"/>
      <c r="BI388" s="3"/>
      <c r="BJ388" s="3"/>
    </row>
    <row r="389" spans="1:62" ht="15">
      <c r="A389" s="66" t="s">
        <v>576</v>
      </c>
      <c r="B389" s="67"/>
      <c r="C389" s="67"/>
      <c r="D389" s="68">
        <v>50</v>
      </c>
      <c r="E389" s="70"/>
      <c r="F389" s="105" t="str">
        <f>HYPERLINK("https://yt3.ggpht.com/cuDAALY4TwPRSn-BcLPM_DzApbNpeaz_IqtT4J8-caBd6M5wAhEE-QnkNnJynKXVkiTsbMiMYg=s88-c-k-c0x00ffffff-no-rj")</f>
        <v>https://yt3.ggpht.com/cuDAALY4TwPRSn-BcLPM_DzApbNpeaz_IqtT4J8-caBd6M5wAhEE-QnkNnJynKXVkiTsbMiMYg=s88-c-k-c0x00ffffff-no-rj</v>
      </c>
      <c r="G389" s="67"/>
      <c r="H389" s="71" t="s">
        <v>2808</v>
      </c>
      <c r="I389" s="72"/>
      <c r="J389" s="72" t="s">
        <v>159</v>
      </c>
      <c r="K389" s="71" t="s">
        <v>2808</v>
      </c>
      <c r="L389" s="75">
        <v>1</v>
      </c>
      <c r="M389" s="76">
        <v>4497.20654296875</v>
      </c>
      <c r="N389" s="76">
        <v>7974.52978515625</v>
      </c>
      <c r="O389" s="77"/>
      <c r="P389" s="78"/>
      <c r="Q389" s="78"/>
      <c r="R389" s="90"/>
      <c r="S389" s="49">
        <v>0</v>
      </c>
      <c r="T389" s="49">
        <v>1</v>
      </c>
      <c r="U389" s="50">
        <v>0</v>
      </c>
      <c r="V389" s="50">
        <v>0.209338</v>
      </c>
      <c r="W389" s="51"/>
      <c r="X389" s="51"/>
      <c r="Y389" s="51"/>
      <c r="Z389" s="50"/>
      <c r="AA389" s="73">
        <v>389</v>
      </c>
      <c r="AB389" s="73"/>
      <c r="AC389" s="74"/>
      <c r="AD389" s="81" t="s">
        <v>2808</v>
      </c>
      <c r="AE389" s="81" t="s">
        <v>3180</v>
      </c>
      <c r="AF389" s="81"/>
      <c r="AG389" s="81"/>
      <c r="AH389" s="81"/>
      <c r="AI389" s="81" t="s">
        <v>2042</v>
      </c>
      <c r="AJ389" s="88">
        <v>40827.641435185185</v>
      </c>
      <c r="AK389" s="86" t="str">
        <f>HYPERLINK("https://yt3.ggpht.com/cuDAALY4TwPRSn-BcLPM_DzApbNpeaz_IqtT4J8-caBd6M5wAhEE-QnkNnJynKXVkiTsbMiMYg=s88-c-k-c0x00ffffff-no-rj")</f>
        <v>https://yt3.ggpht.com/cuDAALY4TwPRSn-BcLPM_DzApbNpeaz_IqtT4J8-caBd6M5wAhEE-QnkNnJynKXVkiTsbMiMYg=s88-c-k-c0x00ffffff-no-rj</v>
      </c>
      <c r="AL389" s="81">
        <v>38922</v>
      </c>
      <c r="AM389" s="81">
        <v>0</v>
      </c>
      <c r="AN389" s="81">
        <v>211</v>
      </c>
      <c r="AO389" s="81" t="b">
        <v>0</v>
      </c>
      <c r="AP389" s="81">
        <v>34</v>
      </c>
      <c r="AQ389" s="81"/>
      <c r="AR389" s="81"/>
      <c r="AS389" s="81" t="s">
        <v>3378</v>
      </c>
      <c r="AT389" s="86" t="str">
        <f>HYPERLINK("https://www.youtube.com/channel/UChE_wus1YKEgXkgCMpN9v9w")</f>
        <v>https://www.youtube.com/channel/UChE_wus1YKEgXkgCMpN9v9w</v>
      </c>
      <c r="AU389" s="81" t="str">
        <f>REPLACE(INDEX(GroupVertices[Group],MATCH("~"&amp;Vertices[[#This Row],[Vertex]],GroupVertices[Vertex],0)),1,1,"")</f>
        <v>3</v>
      </c>
      <c r="AV389" s="49"/>
      <c r="AW389" s="49"/>
      <c r="AX389" s="49"/>
      <c r="AY389" s="49"/>
      <c r="AZ389" s="49"/>
      <c r="BA389" s="49"/>
      <c r="BB389" s="117" t="s">
        <v>4046</v>
      </c>
      <c r="BC389" s="117" t="s">
        <v>4046</v>
      </c>
      <c r="BD389" s="117" t="s">
        <v>4735</v>
      </c>
      <c r="BE389" s="117" t="s">
        <v>4735</v>
      </c>
      <c r="BF389" s="2"/>
      <c r="BG389" s="3"/>
      <c r="BH389" s="3"/>
      <c r="BI389" s="3"/>
      <c r="BJ389" s="3"/>
    </row>
    <row r="390" spans="1:62" ht="15">
      <c r="A390" s="66" t="s">
        <v>577</v>
      </c>
      <c r="B390" s="67"/>
      <c r="C390" s="67"/>
      <c r="D390" s="68">
        <v>50</v>
      </c>
      <c r="E390" s="70"/>
      <c r="F390" s="105" t="str">
        <f>HYPERLINK("https://yt3.ggpht.com/9U2gGALvKQGlU5enlkq4E2oJLBiB2pg40NQQosL4EEF8_E2Os25NNzBQHyMV19mtc8Qpi-vR0w=s88-c-k-c0x00ffffff-no-rj")</f>
        <v>https://yt3.ggpht.com/9U2gGALvKQGlU5enlkq4E2oJLBiB2pg40NQQosL4EEF8_E2Os25NNzBQHyMV19mtc8Qpi-vR0w=s88-c-k-c0x00ffffff-no-rj</v>
      </c>
      <c r="G390" s="67"/>
      <c r="H390" s="71" t="s">
        <v>2809</v>
      </c>
      <c r="I390" s="72"/>
      <c r="J390" s="72" t="s">
        <v>159</v>
      </c>
      <c r="K390" s="71" t="s">
        <v>2809</v>
      </c>
      <c r="L390" s="75">
        <v>1</v>
      </c>
      <c r="M390" s="76">
        <v>5873.84814453125</v>
      </c>
      <c r="N390" s="76">
        <v>8912.4453125</v>
      </c>
      <c r="O390" s="77"/>
      <c r="P390" s="78"/>
      <c r="Q390" s="78"/>
      <c r="R390" s="90"/>
      <c r="S390" s="49">
        <v>0</v>
      </c>
      <c r="T390" s="49">
        <v>1</v>
      </c>
      <c r="U390" s="50">
        <v>0</v>
      </c>
      <c r="V390" s="50">
        <v>0.209338</v>
      </c>
      <c r="W390" s="51"/>
      <c r="X390" s="51"/>
      <c r="Y390" s="51"/>
      <c r="Z390" s="50"/>
      <c r="AA390" s="73">
        <v>390</v>
      </c>
      <c r="AB390" s="73"/>
      <c r="AC390" s="74"/>
      <c r="AD390" s="81" t="s">
        <v>2809</v>
      </c>
      <c r="AE390" s="81" t="s">
        <v>3181</v>
      </c>
      <c r="AF390" s="81"/>
      <c r="AG390" s="81"/>
      <c r="AH390" s="81"/>
      <c r="AI390" s="81" t="s">
        <v>2043</v>
      </c>
      <c r="AJ390" s="88">
        <v>41100.970243055555</v>
      </c>
      <c r="AK390" s="86" t="str">
        <f>HYPERLINK("https://yt3.ggpht.com/9U2gGALvKQGlU5enlkq4E2oJLBiB2pg40NQQosL4EEF8_E2Os25NNzBQHyMV19mtc8Qpi-vR0w=s88-c-k-c0x00ffffff-no-rj")</f>
        <v>https://yt3.ggpht.com/9U2gGALvKQGlU5enlkq4E2oJLBiB2pg40NQQosL4EEF8_E2Os25NNzBQHyMV19mtc8Qpi-vR0w=s88-c-k-c0x00ffffff-no-rj</v>
      </c>
      <c r="AL390" s="81">
        <v>0</v>
      </c>
      <c r="AM390" s="81">
        <v>0</v>
      </c>
      <c r="AN390" s="81">
        <v>10</v>
      </c>
      <c r="AO390" s="81" t="b">
        <v>0</v>
      </c>
      <c r="AP390" s="81">
        <v>0</v>
      </c>
      <c r="AQ390" s="81"/>
      <c r="AR390" s="81"/>
      <c r="AS390" s="81" t="s">
        <v>3378</v>
      </c>
      <c r="AT390" s="86" t="str">
        <f>HYPERLINK("https://www.youtube.com/channel/UC_Bio0vuo7vfI6Alhk1KLWg")</f>
        <v>https://www.youtube.com/channel/UC_Bio0vuo7vfI6Alhk1KLWg</v>
      </c>
      <c r="AU390" s="81" t="str">
        <f>REPLACE(INDEX(GroupVertices[Group],MATCH("~"&amp;Vertices[[#This Row],[Vertex]],GroupVertices[Vertex],0)),1,1,"")</f>
        <v>3</v>
      </c>
      <c r="AV390" s="49"/>
      <c r="AW390" s="49"/>
      <c r="AX390" s="49"/>
      <c r="AY390" s="49"/>
      <c r="AZ390" s="49"/>
      <c r="BA390" s="49"/>
      <c r="BB390" s="117" t="s">
        <v>4047</v>
      </c>
      <c r="BC390" s="117" t="s">
        <v>4047</v>
      </c>
      <c r="BD390" s="117" t="s">
        <v>4736</v>
      </c>
      <c r="BE390" s="117" t="s">
        <v>4736</v>
      </c>
      <c r="BF390" s="2"/>
      <c r="BG390" s="3"/>
      <c r="BH390" s="3"/>
      <c r="BI390" s="3"/>
      <c r="BJ390" s="3"/>
    </row>
    <row r="391" spans="1:62" ht="15">
      <c r="A391" s="66" t="s">
        <v>578</v>
      </c>
      <c r="B391" s="67"/>
      <c r="C391" s="67"/>
      <c r="D391" s="68">
        <v>50</v>
      </c>
      <c r="E391" s="70"/>
      <c r="F391" s="105" t="str">
        <f>HYPERLINK("https://yt3.ggpht.com/ytc/AIf8zZR4a_Kba0ScQSZqCqnyo-1eqIcJy0iN1vMJFA=s88-c-k-c0x00ffffff-no-rj")</f>
        <v>https://yt3.ggpht.com/ytc/AIf8zZR4a_Kba0ScQSZqCqnyo-1eqIcJy0iN1vMJFA=s88-c-k-c0x00ffffff-no-rj</v>
      </c>
      <c r="G391" s="67"/>
      <c r="H391" s="71" t="s">
        <v>2810</v>
      </c>
      <c r="I391" s="72"/>
      <c r="J391" s="72" t="s">
        <v>159</v>
      </c>
      <c r="K391" s="71" t="s">
        <v>2810</v>
      </c>
      <c r="L391" s="75">
        <v>1</v>
      </c>
      <c r="M391" s="76">
        <v>5628.89892578125</v>
      </c>
      <c r="N391" s="76">
        <v>8383.0966796875</v>
      </c>
      <c r="O391" s="77"/>
      <c r="P391" s="78"/>
      <c r="Q391" s="78"/>
      <c r="R391" s="90"/>
      <c r="S391" s="49">
        <v>0</v>
      </c>
      <c r="T391" s="49">
        <v>1</v>
      </c>
      <c r="U391" s="50">
        <v>0</v>
      </c>
      <c r="V391" s="50">
        <v>0.209338</v>
      </c>
      <c r="W391" s="51"/>
      <c r="X391" s="51"/>
      <c r="Y391" s="51"/>
      <c r="Z391" s="50"/>
      <c r="AA391" s="73">
        <v>391</v>
      </c>
      <c r="AB391" s="73"/>
      <c r="AC391" s="74"/>
      <c r="AD391" s="81" t="s">
        <v>2810</v>
      </c>
      <c r="AE391" s="81"/>
      <c r="AF391" s="81"/>
      <c r="AG391" s="81"/>
      <c r="AH391" s="81"/>
      <c r="AI391" s="81" t="s">
        <v>2044</v>
      </c>
      <c r="AJ391" s="88">
        <v>41468.80886574074</v>
      </c>
      <c r="AK391" s="86" t="str">
        <f>HYPERLINK("https://yt3.ggpht.com/ytc/AIf8zZR4a_Kba0ScQSZqCqnyo-1eqIcJy0iN1vMJFA=s88-c-k-c0x00ffffff-no-rj")</f>
        <v>https://yt3.ggpht.com/ytc/AIf8zZR4a_Kba0ScQSZqCqnyo-1eqIcJy0iN1vMJFA=s88-c-k-c0x00ffffff-no-rj</v>
      </c>
      <c r="AL391" s="81">
        <v>0</v>
      </c>
      <c r="AM391" s="81">
        <v>0</v>
      </c>
      <c r="AN391" s="81">
        <v>0</v>
      </c>
      <c r="AO391" s="81" t="b">
        <v>0</v>
      </c>
      <c r="AP391" s="81">
        <v>0</v>
      </c>
      <c r="AQ391" s="81"/>
      <c r="AR391" s="81"/>
      <c r="AS391" s="81" t="s">
        <v>3378</v>
      </c>
      <c r="AT391" s="86" t="str">
        <f>HYPERLINK("https://www.youtube.com/channel/UC7kxKThp2d5aQCEBp3zCV4w")</f>
        <v>https://www.youtube.com/channel/UC7kxKThp2d5aQCEBp3zCV4w</v>
      </c>
      <c r="AU391" s="81" t="str">
        <f>REPLACE(INDEX(GroupVertices[Group],MATCH("~"&amp;Vertices[[#This Row],[Vertex]],GroupVertices[Vertex],0)),1,1,"")</f>
        <v>3</v>
      </c>
      <c r="AV391" s="49"/>
      <c r="AW391" s="49"/>
      <c r="AX391" s="49"/>
      <c r="AY391" s="49"/>
      <c r="AZ391" s="49"/>
      <c r="BA391" s="49"/>
      <c r="BB391" s="117" t="s">
        <v>4048</v>
      </c>
      <c r="BC391" s="117" t="s">
        <v>4048</v>
      </c>
      <c r="BD391" s="117" t="s">
        <v>4737</v>
      </c>
      <c r="BE391" s="117" t="s">
        <v>4737</v>
      </c>
      <c r="BF391" s="2"/>
      <c r="BG391" s="3"/>
      <c r="BH391" s="3"/>
      <c r="BI391" s="3"/>
      <c r="BJ391" s="3"/>
    </row>
    <row r="392" spans="1:62" ht="15">
      <c r="A392" s="66" t="s">
        <v>579</v>
      </c>
      <c r="B392" s="67"/>
      <c r="C392" s="67"/>
      <c r="D392" s="68">
        <v>50</v>
      </c>
      <c r="E392" s="70"/>
      <c r="F392" s="105" t="str">
        <f>HYPERLINK("https://yt3.ggpht.com/E-cH8nPmq1LCTgx5KfZJbs9xVHlEMK6qGaZakijnrUMGYasNI-wyLC5zzGs2jGYgJZJvGc24sQ=s88-c-k-c0x00ffffff-no-rj")</f>
        <v>https://yt3.ggpht.com/E-cH8nPmq1LCTgx5KfZJbs9xVHlEMK6qGaZakijnrUMGYasNI-wyLC5zzGs2jGYgJZJvGc24sQ=s88-c-k-c0x00ffffff-no-rj</v>
      </c>
      <c r="G392" s="67"/>
      <c r="H392" s="71" t="s">
        <v>2811</v>
      </c>
      <c r="I392" s="72"/>
      <c r="J392" s="72" t="s">
        <v>159</v>
      </c>
      <c r="K392" s="71" t="s">
        <v>2811</v>
      </c>
      <c r="L392" s="75">
        <v>1</v>
      </c>
      <c r="M392" s="76">
        <v>5535.283203125</v>
      </c>
      <c r="N392" s="76">
        <v>5788.779296875</v>
      </c>
      <c r="O392" s="77"/>
      <c r="P392" s="78"/>
      <c r="Q392" s="78"/>
      <c r="R392" s="90"/>
      <c r="S392" s="49">
        <v>0</v>
      </c>
      <c r="T392" s="49">
        <v>1</v>
      </c>
      <c r="U392" s="50">
        <v>0</v>
      </c>
      <c r="V392" s="50">
        <v>0.209338</v>
      </c>
      <c r="W392" s="51"/>
      <c r="X392" s="51"/>
      <c r="Y392" s="51"/>
      <c r="Z392" s="50"/>
      <c r="AA392" s="73">
        <v>392</v>
      </c>
      <c r="AB392" s="73"/>
      <c r="AC392" s="74"/>
      <c r="AD392" s="81" t="s">
        <v>2811</v>
      </c>
      <c r="AE392" s="81"/>
      <c r="AF392" s="81"/>
      <c r="AG392" s="81"/>
      <c r="AH392" s="81"/>
      <c r="AI392" s="81" t="s">
        <v>2045</v>
      </c>
      <c r="AJ392" s="88">
        <v>44391.849756944444</v>
      </c>
      <c r="AK392" s="86" t="str">
        <f>HYPERLINK("https://yt3.ggpht.com/E-cH8nPmq1LCTgx5KfZJbs9xVHlEMK6qGaZakijnrUMGYasNI-wyLC5zzGs2jGYgJZJvGc24sQ=s88-c-k-c0x00ffffff-no-rj")</f>
        <v>https://yt3.ggpht.com/E-cH8nPmq1LCTgx5KfZJbs9xVHlEMK6qGaZakijnrUMGYasNI-wyLC5zzGs2jGYgJZJvGc24sQ=s88-c-k-c0x00ffffff-no-rj</v>
      </c>
      <c r="AL392" s="81">
        <v>0</v>
      </c>
      <c r="AM392" s="81">
        <v>0</v>
      </c>
      <c r="AN392" s="81">
        <v>0</v>
      </c>
      <c r="AO392" s="81" t="b">
        <v>0</v>
      </c>
      <c r="AP392" s="81">
        <v>0</v>
      </c>
      <c r="AQ392" s="81"/>
      <c r="AR392" s="81"/>
      <c r="AS392" s="81" t="s">
        <v>3378</v>
      </c>
      <c r="AT392" s="86" t="str">
        <f>HYPERLINK("https://www.youtube.com/channel/UCs6om7s3fEJ0PlQR4hEacTA")</f>
        <v>https://www.youtube.com/channel/UCs6om7s3fEJ0PlQR4hEacTA</v>
      </c>
      <c r="AU392" s="81" t="str">
        <f>REPLACE(INDEX(GroupVertices[Group],MATCH("~"&amp;Vertices[[#This Row],[Vertex]],GroupVertices[Vertex],0)),1,1,"")</f>
        <v>3</v>
      </c>
      <c r="AV392" s="49"/>
      <c r="AW392" s="49"/>
      <c r="AX392" s="49"/>
      <c r="AY392" s="49"/>
      <c r="AZ392" s="49"/>
      <c r="BA392" s="49"/>
      <c r="BB392" s="117" t="s">
        <v>4049</v>
      </c>
      <c r="BC392" s="117" t="s">
        <v>4049</v>
      </c>
      <c r="BD392" s="117" t="s">
        <v>4738</v>
      </c>
      <c r="BE392" s="117" t="s">
        <v>4738</v>
      </c>
      <c r="BF392" s="2"/>
      <c r="BG392" s="3"/>
      <c r="BH392" s="3"/>
      <c r="BI392" s="3"/>
      <c r="BJ392" s="3"/>
    </row>
    <row r="393" spans="1:62" ht="15">
      <c r="A393" s="66" t="s">
        <v>580</v>
      </c>
      <c r="B393" s="67"/>
      <c r="C393" s="67"/>
      <c r="D393" s="68">
        <v>50</v>
      </c>
      <c r="E393" s="70"/>
      <c r="F393" s="105" t="str">
        <f>HYPERLINK("https://yt3.ggpht.com/ytc/AIf8zZRj3tyydUjqYPqig4uXnQD6BKkOmdh3gbgnXw=s88-c-k-c0x00ffffff-no-rj")</f>
        <v>https://yt3.ggpht.com/ytc/AIf8zZRj3tyydUjqYPqig4uXnQD6BKkOmdh3gbgnXw=s88-c-k-c0x00ffffff-no-rj</v>
      </c>
      <c r="G393" s="67"/>
      <c r="H393" s="71" t="s">
        <v>2812</v>
      </c>
      <c r="I393" s="72"/>
      <c r="J393" s="72" t="s">
        <v>159</v>
      </c>
      <c r="K393" s="71" t="s">
        <v>2812</v>
      </c>
      <c r="L393" s="75">
        <v>1</v>
      </c>
      <c r="M393" s="76">
        <v>6687.34765625</v>
      </c>
      <c r="N393" s="76">
        <v>6827.16650390625</v>
      </c>
      <c r="O393" s="77"/>
      <c r="P393" s="78"/>
      <c r="Q393" s="78"/>
      <c r="R393" s="90"/>
      <c r="S393" s="49">
        <v>0</v>
      </c>
      <c r="T393" s="49">
        <v>1</v>
      </c>
      <c r="U393" s="50">
        <v>0</v>
      </c>
      <c r="V393" s="50">
        <v>0.209338</v>
      </c>
      <c r="W393" s="51"/>
      <c r="X393" s="51"/>
      <c r="Y393" s="51"/>
      <c r="Z393" s="50"/>
      <c r="AA393" s="73">
        <v>393</v>
      </c>
      <c r="AB393" s="73"/>
      <c r="AC393" s="74"/>
      <c r="AD393" s="81" t="s">
        <v>2812</v>
      </c>
      <c r="AE393" s="81"/>
      <c r="AF393" s="81"/>
      <c r="AG393" s="81"/>
      <c r="AH393" s="81"/>
      <c r="AI393" s="81" t="s">
        <v>2046</v>
      </c>
      <c r="AJ393" s="88">
        <v>43493.94490740741</v>
      </c>
      <c r="AK393" s="86" t="str">
        <f>HYPERLINK("https://yt3.ggpht.com/ytc/AIf8zZRj3tyydUjqYPqig4uXnQD6BKkOmdh3gbgnXw=s88-c-k-c0x00ffffff-no-rj")</f>
        <v>https://yt3.ggpht.com/ytc/AIf8zZRj3tyydUjqYPqig4uXnQD6BKkOmdh3gbgnXw=s88-c-k-c0x00ffffff-no-rj</v>
      </c>
      <c r="AL393" s="81">
        <v>0</v>
      </c>
      <c r="AM393" s="81">
        <v>0</v>
      </c>
      <c r="AN393" s="81">
        <v>3</v>
      </c>
      <c r="AO393" s="81" t="b">
        <v>0</v>
      </c>
      <c r="AP393" s="81">
        <v>0</v>
      </c>
      <c r="AQ393" s="81"/>
      <c r="AR393" s="81"/>
      <c r="AS393" s="81" t="s">
        <v>3378</v>
      </c>
      <c r="AT393" s="86" t="str">
        <f>HYPERLINK("https://www.youtube.com/channel/UCur3WHP9qwrNuQigbjJSZYA")</f>
        <v>https://www.youtube.com/channel/UCur3WHP9qwrNuQigbjJSZYA</v>
      </c>
      <c r="AU393" s="81" t="str">
        <f>REPLACE(INDEX(GroupVertices[Group],MATCH("~"&amp;Vertices[[#This Row],[Vertex]],GroupVertices[Vertex],0)),1,1,"")</f>
        <v>3</v>
      </c>
      <c r="AV393" s="49"/>
      <c r="AW393" s="49"/>
      <c r="AX393" s="49"/>
      <c r="AY393" s="49"/>
      <c r="AZ393" s="49"/>
      <c r="BA393" s="49"/>
      <c r="BB393" s="117" t="s">
        <v>4050</v>
      </c>
      <c r="BC393" s="117" t="s">
        <v>4050</v>
      </c>
      <c r="BD393" s="117" t="s">
        <v>4739</v>
      </c>
      <c r="BE393" s="117" t="s">
        <v>4739</v>
      </c>
      <c r="BF393" s="2"/>
      <c r="BG393" s="3"/>
      <c r="BH393" s="3"/>
      <c r="BI393" s="3"/>
      <c r="BJ393" s="3"/>
    </row>
    <row r="394" spans="1:62" ht="15">
      <c r="A394" s="66" t="s">
        <v>581</v>
      </c>
      <c r="B394" s="67"/>
      <c r="C394" s="67"/>
      <c r="D394" s="68">
        <v>50</v>
      </c>
      <c r="E394" s="70"/>
      <c r="F394" s="105" t="str">
        <f>HYPERLINK("https://yt3.ggpht.com/ytc/AIf8zZQkeACRyAhl2WUJZ7VIFTeLzqflgi2y-r-NTw=s88-c-k-c0x00ffffff-no-rj")</f>
        <v>https://yt3.ggpht.com/ytc/AIf8zZQkeACRyAhl2WUJZ7VIFTeLzqflgi2y-r-NTw=s88-c-k-c0x00ffffff-no-rj</v>
      </c>
      <c r="G394" s="67"/>
      <c r="H394" s="71" t="s">
        <v>2813</v>
      </c>
      <c r="I394" s="72"/>
      <c r="J394" s="72" t="s">
        <v>159</v>
      </c>
      <c r="K394" s="71" t="s">
        <v>2813</v>
      </c>
      <c r="L394" s="75">
        <v>1</v>
      </c>
      <c r="M394" s="76">
        <v>5615.74755859375</v>
      </c>
      <c r="N394" s="76">
        <v>9817.740234375</v>
      </c>
      <c r="O394" s="77"/>
      <c r="P394" s="78"/>
      <c r="Q394" s="78"/>
      <c r="R394" s="90"/>
      <c r="S394" s="49">
        <v>0</v>
      </c>
      <c r="T394" s="49">
        <v>1</v>
      </c>
      <c r="U394" s="50">
        <v>0</v>
      </c>
      <c r="V394" s="50">
        <v>0.209338</v>
      </c>
      <c r="W394" s="51"/>
      <c r="X394" s="51"/>
      <c r="Y394" s="51"/>
      <c r="Z394" s="50"/>
      <c r="AA394" s="73">
        <v>394</v>
      </c>
      <c r="AB394" s="73"/>
      <c r="AC394" s="74"/>
      <c r="AD394" s="81" t="s">
        <v>2813</v>
      </c>
      <c r="AE394" s="81"/>
      <c r="AF394" s="81"/>
      <c r="AG394" s="81"/>
      <c r="AH394" s="81"/>
      <c r="AI394" s="81" t="s">
        <v>2047</v>
      </c>
      <c r="AJ394" s="88">
        <v>40820.96288194445</v>
      </c>
      <c r="AK394" s="86" t="str">
        <f>HYPERLINK("https://yt3.ggpht.com/ytc/AIf8zZQkeACRyAhl2WUJZ7VIFTeLzqflgi2y-r-NTw=s88-c-k-c0x00ffffff-no-rj")</f>
        <v>https://yt3.ggpht.com/ytc/AIf8zZQkeACRyAhl2WUJZ7VIFTeLzqflgi2y-r-NTw=s88-c-k-c0x00ffffff-no-rj</v>
      </c>
      <c r="AL394" s="81">
        <v>0</v>
      </c>
      <c r="AM394" s="81">
        <v>0</v>
      </c>
      <c r="AN394" s="81">
        <v>1</v>
      </c>
      <c r="AO394" s="81" t="b">
        <v>0</v>
      </c>
      <c r="AP394" s="81">
        <v>0</v>
      </c>
      <c r="AQ394" s="81"/>
      <c r="AR394" s="81"/>
      <c r="AS394" s="81" t="s">
        <v>3378</v>
      </c>
      <c r="AT394" s="86" t="str">
        <f>HYPERLINK("https://www.youtube.com/channel/UCv5ZEPEjgqejTgMQhOOv3MQ")</f>
        <v>https://www.youtube.com/channel/UCv5ZEPEjgqejTgMQhOOv3MQ</v>
      </c>
      <c r="AU394" s="81" t="str">
        <f>REPLACE(INDEX(GroupVertices[Group],MATCH("~"&amp;Vertices[[#This Row],[Vertex]],GroupVertices[Vertex],0)),1,1,"")</f>
        <v>3</v>
      </c>
      <c r="AV394" s="49"/>
      <c r="AW394" s="49"/>
      <c r="AX394" s="49"/>
      <c r="AY394" s="49"/>
      <c r="AZ394" s="49"/>
      <c r="BA394" s="49"/>
      <c r="BB394" s="117" t="s">
        <v>4051</v>
      </c>
      <c r="BC394" s="117" t="s">
        <v>4051</v>
      </c>
      <c r="BD394" s="117" t="s">
        <v>4740</v>
      </c>
      <c r="BE394" s="117" t="s">
        <v>4740</v>
      </c>
      <c r="BF394" s="2"/>
      <c r="BG394" s="3"/>
      <c r="BH394" s="3"/>
      <c r="BI394" s="3"/>
      <c r="BJ394" s="3"/>
    </row>
    <row r="395" spans="1:62" ht="15">
      <c r="A395" s="66" t="s">
        <v>582</v>
      </c>
      <c r="B395" s="67"/>
      <c r="C395" s="67"/>
      <c r="D395" s="68">
        <v>50</v>
      </c>
      <c r="E395" s="70"/>
      <c r="F395" s="105" t="str">
        <f>HYPERLINK("https://yt3.ggpht.com/ytc/AIf8zZTY7Ksd1f9MnDqZvdqNK6tHo-_i-ySF3Ivk7BJgcg=s88-c-k-c0x00ffffff-no-rj")</f>
        <v>https://yt3.ggpht.com/ytc/AIf8zZTY7Ksd1f9MnDqZvdqNK6tHo-_i-ySF3Ivk7BJgcg=s88-c-k-c0x00ffffff-no-rj</v>
      </c>
      <c r="G395" s="67"/>
      <c r="H395" s="71" t="s">
        <v>2814</v>
      </c>
      <c r="I395" s="72"/>
      <c r="J395" s="72" t="s">
        <v>159</v>
      </c>
      <c r="K395" s="71" t="s">
        <v>2814</v>
      </c>
      <c r="L395" s="75">
        <v>1</v>
      </c>
      <c r="M395" s="76">
        <v>4584.06982421875</v>
      </c>
      <c r="N395" s="76">
        <v>7504.1220703125</v>
      </c>
      <c r="O395" s="77"/>
      <c r="P395" s="78"/>
      <c r="Q395" s="78"/>
      <c r="R395" s="90"/>
      <c r="S395" s="49">
        <v>0</v>
      </c>
      <c r="T395" s="49">
        <v>1</v>
      </c>
      <c r="U395" s="50">
        <v>0</v>
      </c>
      <c r="V395" s="50">
        <v>0.209338</v>
      </c>
      <c r="W395" s="51"/>
      <c r="X395" s="51"/>
      <c r="Y395" s="51"/>
      <c r="Z395" s="50"/>
      <c r="AA395" s="73">
        <v>395</v>
      </c>
      <c r="AB395" s="73"/>
      <c r="AC395" s="74"/>
      <c r="AD395" s="81" t="s">
        <v>2814</v>
      </c>
      <c r="AE395" s="81"/>
      <c r="AF395" s="81"/>
      <c r="AG395" s="81"/>
      <c r="AH395" s="81"/>
      <c r="AI395" s="81" t="s">
        <v>2048</v>
      </c>
      <c r="AJ395" s="88">
        <v>40738.874502314815</v>
      </c>
      <c r="AK395" s="86" t="str">
        <f>HYPERLINK("https://yt3.ggpht.com/ytc/AIf8zZTY7Ksd1f9MnDqZvdqNK6tHo-_i-ySF3Ivk7BJgcg=s88-c-k-c0x00ffffff-no-rj")</f>
        <v>https://yt3.ggpht.com/ytc/AIf8zZTY7Ksd1f9MnDqZvdqNK6tHo-_i-ySF3Ivk7BJgcg=s88-c-k-c0x00ffffff-no-rj</v>
      </c>
      <c r="AL395" s="81">
        <v>105</v>
      </c>
      <c r="AM395" s="81">
        <v>0</v>
      </c>
      <c r="AN395" s="81">
        <v>4</v>
      </c>
      <c r="AO395" s="81" t="b">
        <v>0</v>
      </c>
      <c r="AP395" s="81">
        <v>2</v>
      </c>
      <c r="AQ395" s="81"/>
      <c r="AR395" s="81"/>
      <c r="AS395" s="81" t="s">
        <v>3378</v>
      </c>
      <c r="AT395" s="86" t="str">
        <f>HYPERLINK("https://www.youtube.com/channel/UCQTLaguKLDCsmewuUDo50Vw")</f>
        <v>https://www.youtube.com/channel/UCQTLaguKLDCsmewuUDo50Vw</v>
      </c>
      <c r="AU395" s="81" t="str">
        <f>REPLACE(INDEX(GroupVertices[Group],MATCH("~"&amp;Vertices[[#This Row],[Vertex]],GroupVertices[Vertex],0)),1,1,"")</f>
        <v>3</v>
      </c>
      <c r="AV395" s="49"/>
      <c r="AW395" s="49"/>
      <c r="AX395" s="49"/>
      <c r="AY395" s="49"/>
      <c r="AZ395" s="49"/>
      <c r="BA395" s="49"/>
      <c r="BB395" s="117" t="s">
        <v>4052</v>
      </c>
      <c r="BC395" s="117" t="s">
        <v>4052</v>
      </c>
      <c r="BD395" s="117" t="s">
        <v>4741</v>
      </c>
      <c r="BE395" s="117" t="s">
        <v>4741</v>
      </c>
      <c r="BF395" s="2"/>
      <c r="BG395" s="3"/>
      <c r="BH395" s="3"/>
      <c r="BI395" s="3"/>
      <c r="BJ395" s="3"/>
    </row>
    <row r="396" spans="1:62" ht="15">
      <c r="A396" s="66" t="s">
        <v>583</v>
      </c>
      <c r="B396" s="67"/>
      <c r="C396" s="67"/>
      <c r="D396" s="68">
        <v>50</v>
      </c>
      <c r="E396" s="70"/>
      <c r="F396" s="105" t="str">
        <f>HYPERLINK("https://yt3.ggpht.com/ytc/AIf8zZRSzy4o8WhanEoMNdPEoY6pznIh7Wv10ZjgIKGOnQ=s88-c-k-c0x00ffffff-no-rj")</f>
        <v>https://yt3.ggpht.com/ytc/AIf8zZRSzy4o8WhanEoMNdPEoY6pznIh7Wv10ZjgIKGOnQ=s88-c-k-c0x00ffffff-no-rj</v>
      </c>
      <c r="G396" s="67"/>
      <c r="H396" s="71" t="s">
        <v>2815</v>
      </c>
      <c r="I396" s="72"/>
      <c r="J396" s="72" t="s">
        <v>159</v>
      </c>
      <c r="K396" s="71" t="s">
        <v>2815</v>
      </c>
      <c r="L396" s="75">
        <v>1</v>
      </c>
      <c r="M396" s="76">
        <v>5481.8525390625</v>
      </c>
      <c r="N396" s="76">
        <v>9410.3271484375</v>
      </c>
      <c r="O396" s="77"/>
      <c r="P396" s="78"/>
      <c r="Q396" s="78"/>
      <c r="R396" s="90"/>
      <c r="S396" s="49">
        <v>0</v>
      </c>
      <c r="T396" s="49">
        <v>1</v>
      </c>
      <c r="U396" s="50">
        <v>0</v>
      </c>
      <c r="V396" s="50">
        <v>0.209338</v>
      </c>
      <c r="W396" s="51"/>
      <c r="X396" s="51"/>
      <c r="Y396" s="51"/>
      <c r="Z396" s="50"/>
      <c r="AA396" s="73">
        <v>396</v>
      </c>
      <c r="AB396" s="73"/>
      <c r="AC396" s="74"/>
      <c r="AD396" s="81" t="s">
        <v>2815</v>
      </c>
      <c r="AE396" s="81"/>
      <c r="AF396" s="81"/>
      <c r="AG396" s="81"/>
      <c r="AH396" s="81"/>
      <c r="AI396" s="81" t="s">
        <v>2049</v>
      </c>
      <c r="AJ396" s="88">
        <v>40059.521875</v>
      </c>
      <c r="AK396" s="86" t="str">
        <f>HYPERLINK("https://yt3.ggpht.com/ytc/AIf8zZRSzy4o8WhanEoMNdPEoY6pznIh7Wv10ZjgIKGOnQ=s88-c-k-c0x00ffffff-no-rj")</f>
        <v>https://yt3.ggpht.com/ytc/AIf8zZRSzy4o8WhanEoMNdPEoY6pznIh7Wv10ZjgIKGOnQ=s88-c-k-c0x00ffffff-no-rj</v>
      </c>
      <c r="AL396" s="81">
        <v>258</v>
      </c>
      <c r="AM396" s="81">
        <v>0</v>
      </c>
      <c r="AN396" s="81">
        <v>2</v>
      </c>
      <c r="AO396" s="81" t="b">
        <v>0</v>
      </c>
      <c r="AP396" s="81">
        <v>2</v>
      </c>
      <c r="AQ396" s="81"/>
      <c r="AR396" s="81"/>
      <c r="AS396" s="81" t="s">
        <v>3378</v>
      </c>
      <c r="AT396" s="86" t="str">
        <f>HYPERLINK("https://www.youtube.com/channel/UCQn0-i5rI0fG52GV8zjoP7Q")</f>
        <v>https://www.youtube.com/channel/UCQn0-i5rI0fG52GV8zjoP7Q</v>
      </c>
      <c r="AU396" s="81" t="str">
        <f>REPLACE(INDEX(GroupVertices[Group],MATCH("~"&amp;Vertices[[#This Row],[Vertex]],GroupVertices[Vertex],0)),1,1,"")</f>
        <v>3</v>
      </c>
      <c r="AV396" s="49"/>
      <c r="AW396" s="49"/>
      <c r="AX396" s="49"/>
      <c r="AY396" s="49"/>
      <c r="AZ396" s="49"/>
      <c r="BA396" s="49"/>
      <c r="BB396" s="117" t="s">
        <v>4053</v>
      </c>
      <c r="BC396" s="117" t="s">
        <v>4053</v>
      </c>
      <c r="BD396" s="117" t="s">
        <v>4742</v>
      </c>
      <c r="BE396" s="117" t="s">
        <v>4742</v>
      </c>
      <c r="BF396" s="2"/>
      <c r="BG396" s="3"/>
      <c r="BH396" s="3"/>
      <c r="BI396" s="3"/>
      <c r="BJ396" s="3"/>
    </row>
    <row r="397" spans="1:62" ht="15">
      <c r="A397" s="66" t="s">
        <v>584</v>
      </c>
      <c r="B397" s="67"/>
      <c r="C397" s="67"/>
      <c r="D397" s="68">
        <v>50</v>
      </c>
      <c r="E397" s="70"/>
      <c r="F397" s="105" t="str">
        <f>HYPERLINK("https://yt3.ggpht.com/ytc/AIf8zZT1ZyebVDAlErAOO24Wt3b-0llRExFBS9cWIuocZjC2QBE0BvI7X7kgIncA1XFW=s88-c-k-c0x00ffffff-no-rj")</f>
        <v>https://yt3.ggpht.com/ytc/AIf8zZT1ZyebVDAlErAOO24Wt3b-0llRExFBS9cWIuocZjC2QBE0BvI7X7kgIncA1XFW=s88-c-k-c0x00ffffff-no-rj</v>
      </c>
      <c r="G397" s="67"/>
      <c r="H397" s="71" t="s">
        <v>2816</v>
      </c>
      <c r="I397" s="72"/>
      <c r="J397" s="72" t="s">
        <v>159</v>
      </c>
      <c r="K397" s="71" t="s">
        <v>2816</v>
      </c>
      <c r="L397" s="75">
        <v>1</v>
      </c>
      <c r="M397" s="76">
        <v>6281.2900390625</v>
      </c>
      <c r="N397" s="76">
        <v>6199.35888671875</v>
      </c>
      <c r="O397" s="77"/>
      <c r="P397" s="78"/>
      <c r="Q397" s="78"/>
      <c r="R397" s="90"/>
      <c r="S397" s="49">
        <v>0</v>
      </c>
      <c r="T397" s="49">
        <v>1</v>
      </c>
      <c r="U397" s="50">
        <v>0</v>
      </c>
      <c r="V397" s="50">
        <v>0.209338</v>
      </c>
      <c r="W397" s="51"/>
      <c r="X397" s="51"/>
      <c r="Y397" s="51"/>
      <c r="Z397" s="50"/>
      <c r="AA397" s="73">
        <v>397</v>
      </c>
      <c r="AB397" s="73"/>
      <c r="AC397" s="74"/>
      <c r="AD397" s="81" t="s">
        <v>2816</v>
      </c>
      <c r="AE397" s="81"/>
      <c r="AF397" s="81"/>
      <c r="AG397" s="81"/>
      <c r="AH397" s="81"/>
      <c r="AI397" s="81" t="s">
        <v>2050</v>
      </c>
      <c r="AJ397" s="88">
        <v>44999.950625</v>
      </c>
      <c r="AK397" s="86" t="str">
        <f>HYPERLINK("https://yt3.ggpht.com/ytc/AIf8zZT1ZyebVDAlErAOO24Wt3b-0llRExFBS9cWIuocZjC2QBE0BvI7X7kgIncA1XFW=s88-c-k-c0x00ffffff-no-rj")</f>
        <v>https://yt3.ggpht.com/ytc/AIf8zZT1ZyebVDAlErAOO24Wt3b-0llRExFBS9cWIuocZjC2QBE0BvI7X7kgIncA1XFW=s88-c-k-c0x00ffffff-no-rj</v>
      </c>
      <c r="AL397" s="81">
        <v>0</v>
      </c>
      <c r="AM397" s="81">
        <v>0</v>
      </c>
      <c r="AN397" s="81">
        <v>0</v>
      </c>
      <c r="AO397" s="81" t="b">
        <v>0</v>
      </c>
      <c r="AP397" s="81">
        <v>0</v>
      </c>
      <c r="AQ397" s="81"/>
      <c r="AR397" s="81"/>
      <c r="AS397" s="81" t="s">
        <v>3378</v>
      </c>
      <c r="AT397" s="86" t="str">
        <f>HYPERLINK("https://www.youtube.com/channel/UCSTt1V298C0zph61WG9wRgw")</f>
        <v>https://www.youtube.com/channel/UCSTt1V298C0zph61WG9wRgw</v>
      </c>
      <c r="AU397" s="81" t="str">
        <f>REPLACE(INDEX(GroupVertices[Group],MATCH("~"&amp;Vertices[[#This Row],[Vertex]],GroupVertices[Vertex],0)),1,1,"")</f>
        <v>3</v>
      </c>
      <c r="AV397" s="49"/>
      <c r="AW397" s="49"/>
      <c r="AX397" s="49"/>
      <c r="AY397" s="49"/>
      <c r="AZ397" s="49"/>
      <c r="BA397" s="49"/>
      <c r="BB397" s="117" t="s">
        <v>4054</v>
      </c>
      <c r="BC397" s="117" t="s">
        <v>4054</v>
      </c>
      <c r="BD397" s="117" t="s">
        <v>4743</v>
      </c>
      <c r="BE397" s="117" t="s">
        <v>4743</v>
      </c>
      <c r="BF397" s="2"/>
      <c r="BG397" s="3"/>
      <c r="BH397" s="3"/>
      <c r="BI397" s="3"/>
      <c r="BJ397" s="3"/>
    </row>
    <row r="398" spans="1:62" ht="15">
      <c r="A398" s="66" t="s">
        <v>585</v>
      </c>
      <c r="B398" s="67"/>
      <c r="C398" s="67"/>
      <c r="D398" s="68">
        <v>50</v>
      </c>
      <c r="E398" s="70"/>
      <c r="F398" s="105" t="str">
        <f>HYPERLINK("https://yt3.ggpht.com/ytc/AIf8zZSJYLPt7RJ794dmIj1flqtIqHEtAozAdXHrqevX=s88-c-k-c0x00ffffff-no-rj")</f>
        <v>https://yt3.ggpht.com/ytc/AIf8zZSJYLPt7RJ794dmIj1flqtIqHEtAozAdXHrqevX=s88-c-k-c0x00ffffff-no-rj</v>
      </c>
      <c r="G398" s="67"/>
      <c r="H398" s="71" t="s">
        <v>2817</v>
      </c>
      <c r="I398" s="72"/>
      <c r="J398" s="72" t="s">
        <v>159</v>
      </c>
      <c r="K398" s="71" t="s">
        <v>2817</v>
      </c>
      <c r="L398" s="75">
        <v>1</v>
      </c>
      <c r="M398" s="76">
        <v>5746.17236328125</v>
      </c>
      <c r="N398" s="76">
        <v>6749.70654296875</v>
      </c>
      <c r="O398" s="77"/>
      <c r="P398" s="78"/>
      <c r="Q398" s="78"/>
      <c r="R398" s="90"/>
      <c r="S398" s="49">
        <v>0</v>
      </c>
      <c r="T398" s="49">
        <v>1</v>
      </c>
      <c r="U398" s="50">
        <v>0</v>
      </c>
      <c r="V398" s="50">
        <v>0.209338</v>
      </c>
      <c r="W398" s="51"/>
      <c r="X398" s="51"/>
      <c r="Y398" s="51"/>
      <c r="Z398" s="50"/>
      <c r="AA398" s="73">
        <v>398</v>
      </c>
      <c r="AB398" s="73"/>
      <c r="AC398" s="74"/>
      <c r="AD398" s="81" t="s">
        <v>2817</v>
      </c>
      <c r="AE398" s="81"/>
      <c r="AF398" s="81"/>
      <c r="AG398" s="81"/>
      <c r="AH398" s="81"/>
      <c r="AI398" s="81" t="s">
        <v>2051</v>
      </c>
      <c r="AJ398" s="88">
        <v>42033.58115740741</v>
      </c>
      <c r="AK398" s="86" t="str">
        <f>HYPERLINK("https://yt3.ggpht.com/ytc/AIf8zZSJYLPt7RJ794dmIj1flqtIqHEtAozAdXHrqevX=s88-c-k-c0x00ffffff-no-rj")</f>
        <v>https://yt3.ggpht.com/ytc/AIf8zZSJYLPt7RJ794dmIj1flqtIqHEtAozAdXHrqevX=s88-c-k-c0x00ffffff-no-rj</v>
      </c>
      <c r="AL398" s="81">
        <v>0</v>
      </c>
      <c r="AM398" s="81">
        <v>0</v>
      </c>
      <c r="AN398" s="81">
        <v>5</v>
      </c>
      <c r="AO398" s="81" t="b">
        <v>0</v>
      </c>
      <c r="AP398" s="81">
        <v>0</v>
      </c>
      <c r="AQ398" s="81"/>
      <c r="AR398" s="81"/>
      <c r="AS398" s="81" t="s">
        <v>3378</v>
      </c>
      <c r="AT398" s="86" t="str">
        <f>HYPERLINK("https://www.youtube.com/channel/UCdCPKxljSl4PY2dZzExJG2g")</f>
        <v>https://www.youtube.com/channel/UCdCPKxljSl4PY2dZzExJG2g</v>
      </c>
      <c r="AU398" s="81" t="str">
        <f>REPLACE(INDEX(GroupVertices[Group],MATCH("~"&amp;Vertices[[#This Row],[Vertex]],GroupVertices[Vertex],0)),1,1,"")</f>
        <v>3</v>
      </c>
      <c r="AV398" s="49"/>
      <c r="AW398" s="49"/>
      <c r="AX398" s="49"/>
      <c r="AY398" s="49"/>
      <c r="AZ398" s="49"/>
      <c r="BA398" s="49"/>
      <c r="BB398" s="117" t="s">
        <v>4055</v>
      </c>
      <c r="BC398" s="117" t="s">
        <v>4055</v>
      </c>
      <c r="BD398" s="117" t="s">
        <v>4744</v>
      </c>
      <c r="BE398" s="117" t="s">
        <v>4744</v>
      </c>
      <c r="BF398" s="2"/>
      <c r="BG398" s="3"/>
      <c r="BH398" s="3"/>
      <c r="BI398" s="3"/>
      <c r="BJ398" s="3"/>
    </row>
    <row r="399" spans="1:62" ht="15">
      <c r="A399" s="66" t="s">
        <v>586</v>
      </c>
      <c r="B399" s="67"/>
      <c r="C399" s="67"/>
      <c r="D399" s="68">
        <v>50</v>
      </c>
      <c r="E399" s="70"/>
      <c r="F399" s="105" t="str">
        <f>HYPERLINK("https://yt3.ggpht.com/3nM9r8nBFdsmJbXBPWT2D37Ct1KOrq4CMG5IH5dJARKuW3Jbv7F-5sX7THcDeNQAdhcWeQ7EEnc=s88-c-k-c0x00ffffff-no-rj")</f>
        <v>https://yt3.ggpht.com/3nM9r8nBFdsmJbXBPWT2D37Ct1KOrq4CMG5IH5dJARKuW3Jbv7F-5sX7THcDeNQAdhcWeQ7EEnc=s88-c-k-c0x00ffffff-no-rj</v>
      </c>
      <c r="G399" s="67"/>
      <c r="H399" s="71" t="s">
        <v>2818</v>
      </c>
      <c r="I399" s="72"/>
      <c r="J399" s="72" t="s">
        <v>159</v>
      </c>
      <c r="K399" s="71" t="s">
        <v>2818</v>
      </c>
      <c r="L399" s="75">
        <v>1</v>
      </c>
      <c r="M399" s="76">
        <v>5334.82080078125</v>
      </c>
      <c r="N399" s="76">
        <v>5761.619140625</v>
      </c>
      <c r="O399" s="77"/>
      <c r="P399" s="78"/>
      <c r="Q399" s="78"/>
      <c r="R399" s="90"/>
      <c r="S399" s="49">
        <v>0</v>
      </c>
      <c r="T399" s="49">
        <v>1</v>
      </c>
      <c r="U399" s="50">
        <v>0</v>
      </c>
      <c r="V399" s="50">
        <v>0.209338</v>
      </c>
      <c r="W399" s="51"/>
      <c r="X399" s="51"/>
      <c r="Y399" s="51"/>
      <c r="Z399" s="50"/>
      <c r="AA399" s="73">
        <v>399</v>
      </c>
      <c r="AB399" s="73"/>
      <c r="AC399" s="74"/>
      <c r="AD399" s="81" t="s">
        <v>2818</v>
      </c>
      <c r="AE399" s="81" t="s">
        <v>3182</v>
      </c>
      <c r="AF399" s="81"/>
      <c r="AG399" s="81"/>
      <c r="AH399" s="81"/>
      <c r="AI399" s="81" t="s">
        <v>3307</v>
      </c>
      <c r="AJ399" s="88">
        <v>42043.75800925926</v>
      </c>
      <c r="AK399" s="86" t="str">
        <f>HYPERLINK("https://yt3.ggpht.com/3nM9r8nBFdsmJbXBPWT2D37Ct1KOrq4CMG5IH5dJARKuW3Jbv7F-5sX7THcDeNQAdhcWeQ7EEnc=s88-c-k-c0x00ffffff-no-rj")</f>
        <v>https://yt3.ggpht.com/3nM9r8nBFdsmJbXBPWT2D37Ct1KOrq4CMG5IH5dJARKuW3Jbv7F-5sX7THcDeNQAdhcWeQ7EEnc=s88-c-k-c0x00ffffff-no-rj</v>
      </c>
      <c r="AL399" s="81">
        <v>189756</v>
      </c>
      <c r="AM399" s="81">
        <v>0</v>
      </c>
      <c r="AN399" s="81">
        <v>919</v>
      </c>
      <c r="AO399" s="81" t="b">
        <v>0</v>
      </c>
      <c r="AP399" s="81">
        <v>1017</v>
      </c>
      <c r="AQ399" s="81"/>
      <c r="AR399" s="81"/>
      <c r="AS399" s="81" t="s">
        <v>3378</v>
      </c>
      <c r="AT399" s="86" t="str">
        <f>HYPERLINK("https://www.youtube.com/channel/UC5o9lvXX-zHILPakDPqQBvQ")</f>
        <v>https://www.youtube.com/channel/UC5o9lvXX-zHILPakDPqQBvQ</v>
      </c>
      <c r="AU399" s="81" t="str">
        <f>REPLACE(INDEX(GroupVertices[Group],MATCH("~"&amp;Vertices[[#This Row],[Vertex]],GroupVertices[Vertex],0)),1,1,"")</f>
        <v>3</v>
      </c>
      <c r="AV399" s="49"/>
      <c r="AW399" s="49"/>
      <c r="AX399" s="49"/>
      <c r="AY399" s="49"/>
      <c r="AZ399" s="49"/>
      <c r="BA399" s="49"/>
      <c r="BB399" s="117" t="s">
        <v>4056</v>
      </c>
      <c r="BC399" s="117" t="s">
        <v>4056</v>
      </c>
      <c r="BD399" s="117" t="s">
        <v>4745</v>
      </c>
      <c r="BE399" s="117" t="s">
        <v>4745</v>
      </c>
      <c r="BF399" s="2"/>
      <c r="BG399" s="3"/>
      <c r="BH399" s="3"/>
      <c r="BI399" s="3"/>
      <c r="BJ399" s="3"/>
    </row>
    <row r="400" spans="1:62" ht="15">
      <c r="A400" s="66" t="s">
        <v>587</v>
      </c>
      <c r="B400" s="67"/>
      <c r="C400" s="67"/>
      <c r="D400" s="68">
        <v>50</v>
      </c>
      <c r="E400" s="70"/>
      <c r="F400" s="105" t="str">
        <f>HYPERLINK("https://yt3.ggpht.com/ytc/AIf8zZTGwO26po3VmxiWGzjal7xOVoTQxqAbDTW93A=s88-c-k-c0x00ffffff-no-rj")</f>
        <v>https://yt3.ggpht.com/ytc/AIf8zZTGwO26po3VmxiWGzjal7xOVoTQxqAbDTW93A=s88-c-k-c0x00ffffff-no-rj</v>
      </c>
      <c r="G400" s="67"/>
      <c r="H400" s="71" t="s">
        <v>2819</v>
      </c>
      <c r="I400" s="72"/>
      <c r="J400" s="72" t="s">
        <v>159</v>
      </c>
      <c r="K400" s="71" t="s">
        <v>2819</v>
      </c>
      <c r="L400" s="75">
        <v>1</v>
      </c>
      <c r="M400" s="76">
        <v>5925.53076171875</v>
      </c>
      <c r="N400" s="76">
        <v>5916.328125</v>
      </c>
      <c r="O400" s="77"/>
      <c r="P400" s="78"/>
      <c r="Q400" s="78"/>
      <c r="R400" s="90"/>
      <c r="S400" s="49">
        <v>0</v>
      </c>
      <c r="T400" s="49">
        <v>1</v>
      </c>
      <c r="U400" s="50">
        <v>0</v>
      </c>
      <c r="V400" s="50">
        <v>0.209338</v>
      </c>
      <c r="W400" s="51"/>
      <c r="X400" s="51"/>
      <c r="Y400" s="51"/>
      <c r="Z400" s="50"/>
      <c r="AA400" s="73">
        <v>400</v>
      </c>
      <c r="AB400" s="73"/>
      <c r="AC400" s="74"/>
      <c r="AD400" s="81" t="s">
        <v>2819</v>
      </c>
      <c r="AE400" s="81"/>
      <c r="AF400" s="81"/>
      <c r="AG400" s="81"/>
      <c r="AH400" s="81"/>
      <c r="AI400" s="81" t="s">
        <v>2053</v>
      </c>
      <c r="AJ400" s="88">
        <v>40941.322175925925</v>
      </c>
      <c r="AK400" s="86" t="str">
        <f>HYPERLINK("https://yt3.ggpht.com/ytc/AIf8zZTGwO26po3VmxiWGzjal7xOVoTQxqAbDTW93A=s88-c-k-c0x00ffffff-no-rj")</f>
        <v>https://yt3.ggpht.com/ytc/AIf8zZTGwO26po3VmxiWGzjal7xOVoTQxqAbDTW93A=s88-c-k-c0x00ffffff-no-rj</v>
      </c>
      <c r="AL400" s="81">
        <v>2473</v>
      </c>
      <c r="AM400" s="81">
        <v>0</v>
      </c>
      <c r="AN400" s="81">
        <v>5</v>
      </c>
      <c r="AO400" s="81" t="b">
        <v>0</v>
      </c>
      <c r="AP400" s="81">
        <v>12</v>
      </c>
      <c r="AQ400" s="81"/>
      <c r="AR400" s="81"/>
      <c r="AS400" s="81" t="s">
        <v>3378</v>
      </c>
      <c r="AT400" s="86" t="str">
        <f>HYPERLINK("https://www.youtube.com/channel/UCjPcnXVxSkCrvLB7_aPkRJA")</f>
        <v>https://www.youtube.com/channel/UCjPcnXVxSkCrvLB7_aPkRJA</v>
      </c>
      <c r="AU400" s="81" t="str">
        <f>REPLACE(INDEX(GroupVertices[Group],MATCH("~"&amp;Vertices[[#This Row],[Vertex]],GroupVertices[Vertex],0)),1,1,"")</f>
        <v>3</v>
      </c>
      <c r="AV400" s="49"/>
      <c r="AW400" s="49"/>
      <c r="AX400" s="49"/>
      <c r="AY400" s="49"/>
      <c r="AZ400" s="49"/>
      <c r="BA400" s="49"/>
      <c r="BB400" s="117" t="s">
        <v>4057</v>
      </c>
      <c r="BC400" s="117" t="s">
        <v>4057</v>
      </c>
      <c r="BD400" s="117" t="s">
        <v>4746</v>
      </c>
      <c r="BE400" s="117" t="s">
        <v>4746</v>
      </c>
      <c r="BF400" s="2"/>
      <c r="BG400" s="3"/>
      <c r="BH400" s="3"/>
      <c r="BI400" s="3"/>
      <c r="BJ400" s="3"/>
    </row>
    <row r="401" spans="1:62" ht="15">
      <c r="A401" s="66" t="s">
        <v>588</v>
      </c>
      <c r="B401" s="67"/>
      <c r="C401" s="67"/>
      <c r="D401" s="68">
        <v>50</v>
      </c>
      <c r="E401" s="70"/>
      <c r="F401" s="105" t="str">
        <f>HYPERLINK("https://yt3.ggpht.com/ytc/AIf8zZQwYdmjOSBQ0KYw01Ph3c-Jw5IWjy-irbNfaw=s88-c-k-c0x00ffffff-no-rj")</f>
        <v>https://yt3.ggpht.com/ytc/AIf8zZQwYdmjOSBQ0KYw01Ph3c-Jw5IWjy-irbNfaw=s88-c-k-c0x00ffffff-no-rj</v>
      </c>
      <c r="G401" s="67"/>
      <c r="H401" s="71" t="s">
        <v>2820</v>
      </c>
      <c r="I401" s="72"/>
      <c r="J401" s="72" t="s">
        <v>159</v>
      </c>
      <c r="K401" s="71" t="s">
        <v>2820</v>
      </c>
      <c r="L401" s="75">
        <v>1</v>
      </c>
      <c r="M401" s="76">
        <v>6845.42529296875</v>
      </c>
      <c r="N401" s="76">
        <v>7416.46337890625</v>
      </c>
      <c r="O401" s="77"/>
      <c r="P401" s="78"/>
      <c r="Q401" s="78"/>
      <c r="R401" s="90"/>
      <c r="S401" s="49">
        <v>0</v>
      </c>
      <c r="T401" s="49">
        <v>1</v>
      </c>
      <c r="U401" s="50">
        <v>0</v>
      </c>
      <c r="V401" s="50">
        <v>0.209338</v>
      </c>
      <c r="W401" s="51"/>
      <c r="X401" s="51"/>
      <c r="Y401" s="51"/>
      <c r="Z401" s="50"/>
      <c r="AA401" s="73">
        <v>401</v>
      </c>
      <c r="AB401" s="73"/>
      <c r="AC401" s="74"/>
      <c r="AD401" s="81" t="s">
        <v>2820</v>
      </c>
      <c r="AE401" s="81"/>
      <c r="AF401" s="81"/>
      <c r="AG401" s="81"/>
      <c r="AH401" s="81"/>
      <c r="AI401" s="81" t="s">
        <v>2054</v>
      </c>
      <c r="AJ401" s="88">
        <v>40367.2875</v>
      </c>
      <c r="AK401" s="86" t="str">
        <f>HYPERLINK("https://yt3.ggpht.com/ytc/AIf8zZQwYdmjOSBQ0KYw01Ph3c-Jw5IWjy-irbNfaw=s88-c-k-c0x00ffffff-no-rj")</f>
        <v>https://yt3.ggpht.com/ytc/AIf8zZQwYdmjOSBQ0KYw01Ph3c-Jw5IWjy-irbNfaw=s88-c-k-c0x00ffffff-no-rj</v>
      </c>
      <c r="AL401" s="81">
        <v>2145</v>
      </c>
      <c r="AM401" s="81">
        <v>0</v>
      </c>
      <c r="AN401" s="81">
        <v>9</v>
      </c>
      <c r="AO401" s="81" t="b">
        <v>0</v>
      </c>
      <c r="AP401" s="81">
        <v>2</v>
      </c>
      <c r="AQ401" s="81"/>
      <c r="AR401" s="81"/>
      <c r="AS401" s="81" t="s">
        <v>3378</v>
      </c>
      <c r="AT401" s="86" t="str">
        <f>HYPERLINK("https://www.youtube.com/channel/UCiFRDvbZbPwWQPwirqqDWOg")</f>
        <v>https://www.youtube.com/channel/UCiFRDvbZbPwWQPwirqqDWOg</v>
      </c>
      <c r="AU401" s="81" t="str">
        <f>REPLACE(INDEX(GroupVertices[Group],MATCH("~"&amp;Vertices[[#This Row],[Vertex]],GroupVertices[Vertex],0)),1,1,"")</f>
        <v>3</v>
      </c>
      <c r="AV401" s="49"/>
      <c r="AW401" s="49"/>
      <c r="AX401" s="49"/>
      <c r="AY401" s="49"/>
      <c r="AZ401" s="49"/>
      <c r="BA401" s="49"/>
      <c r="BB401" s="117" t="s">
        <v>4058</v>
      </c>
      <c r="BC401" s="117" t="s">
        <v>4058</v>
      </c>
      <c r="BD401" s="117" t="s">
        <v>4747</v>
      </c>
      <c r="BE401" s="117" t="s">
        <v>4747</v>
      </c>
      <c r="BF401" s="2"/>
      <c r="BG401" s="3"/>
      <c r="BH401" s="3"/>
      <c r="BI401" s="3"/>
      <c r="BJ401" s="3"/>
    </row>
    <row r="402" spans="1:62" ht="15">
      <c r="A402" s="66" t="s">
        <v>589</v>
      </c>
      <c r="B402" s="67"/>
      <c r="C402" s="67"/>
      <c r="D402" s="68">
        <v>50</v>
      </c>
      <c r="E402" s="70"/>
      <c r="F402" s="105" t="str">
        <f>HYPERLINK("https://yt3.ggpht.com/ytc/AIf8zZQsqA6j1CtyqwAGEsnS-63pi4VNQ0sCO8QxKkCM0O_91II-mnRfRrw0jlkFTyin=s88-c-k-c0x00ffffff-no-rj")</f>
        <v>https://yt3.ggpht.com/ytc/AIf8zZQsqA6j1CtyqwAGEsnS-63pi4VNQ0sCO8QxKkCM0O_91II-mnRfRrw0jlkFTyin=s88-c-k-c0x00ffffff-no-rj</v>
      </c>
      <c r="G402" s="67"/>
      <c r="H402" s="71" t="s">
        <v>2821</v>
      </c>
      <c r="I402" s="72"/>
      <c r="J402" s="72" t="s">
        <v>159</v>
      </c>
      <c r="K402" s="71" t="s">
        <v>2821</v>
      </c>
      <c r="L402" s="75">
        <v>1</v>
      </c>
      <c r="M402" s="76">
        <v>5000.6005859375</v>
      </c>
      <c r="N402" s="76">
        <v>6191.4619140625</v>
      </c>
      <c r="O402" s="77"/>
      <c r="P402" s="78"/>
      <c r="Q402" s="78"/>
      <c r="R402" s="90"/>
      <c r="S402" s="49">
        <v>0</v>
      </c>
      <c r="T402" s="49">
        <v>1</v>
      </c>
      <c r="U402" s="50">
        <v>0</v>
      </c>
      <c r="V402" s="50">
        <v>0.209338</v>
      </c>
      <c r="W402" s="51"/>
      <c r="X402" s="51"/>
      <c r="Y402" s="51"/>
      <c r="Z402" s="50"/>
      <c r="AA402" s="73">
        <v>402</v>
      </c>
      <c r="AB402" s="73"/>
      <c r="AC402" s="74"/>
      <c r="AD402" s="81" t="s">
        <v>2821</v>
      </c>
      <c r="AE402" s="81"/>
      <c r="AF402" s="81"/>
      <c r="AG402" s="81"/>
      <c r="AH402" s="81"/>
      <c r="AI402" s="81" t="s">
        <v>2055</v>
      </c>
      <c r="AJ402" s="88">
        <v>44851.94412037037</v>
      </c>
      <c r="AK402" s="86" t="str">
        <f>HYPERLINK("https://yt3.ggpht.com/ytc/AIf8zZQsqA6j1CtyqwAGEsnS-63pi4VNQ0sCO8QxKkCM0O_91II-mnRfRrw0jlkFTyin=s88-c-k-c0x00ffffff-no-rj")</f>
        <v>https://yt3.ggpht.com/ytc/AIf8zZQsqA6j1CtyqwAGEsnS-63pi4VNQ0sCO8QxKkCM0O_91II-mnRfRrw0jlkFTyin=s88-c-k-c0x00ffffff-no-rj</v>
      </c>
      <c r="AL402" s="81">
        <v>0</v>
      </c>
      <c r="AM402" s="81">
        <v>0</v>
      </c>
      <c r="AN402" s="81">
        <v>0</v>
      </c>
      <c r="AO402" s="81" t="b">
        <v>0</v>
      </c>
      <c r="AP402" s="81">
        <v>0</v>
      </c>
      <c r="AQ402" s="81"/>
      <c r="AR402" s="81"/>
      <c r="AS402" s="81" t="s">
        <v>3378</v>
      </c>
      <c r="AT402" s="86" t="str">
        <f>HYPERLINK("https://www.youtube.com/channel/UCHYzDS1qVbUEQEThdXAeitQ")</f>
        <v>https://www.youtube.com/channel/UCHYzDS1qVbUEQEThdXAeitQ</v>
      </c>
      <c r="AU402" s="81" t="str">
        <f>REPLACE(INDEX(GroupVertices[Group],MATCH("~"&amp;Vertices[[#This Row],[Vertex]],GroupVertices[Vertex],0)),1,1,"")</f>
        <v>3</v>
      </c>
      <c r="AV402" s="49"/>
      <c r="AW402" s="49"/>
      <c r="AX402" s="49"/>
      <c r="AY402" s="49"/>
      <c r="AZ402" s="49"/>
      <c r="BA402" s="49"/>
      <c r="BB402" s="117" t="s">
        <v>4059</v>
      </c>
      <c r="BC402" s="117" t="s">
        <v>4059</v>
      </c>
      <c r="BD402" s="117" t="s">
        <v>4748</v>
      </c>
      <c r="BE402" s="117" t="s">
        <v>4748</v>
      </c>
      <c r="BF402" s="2"/>
      <c r="BG402" s="3"/>
      <c r="BH402" s="3"/>
      <c r="BI402" s="3"/>
      <c r="BJ402" s="3"/>
    </row>
    <row r="403" spans="1:62" ht="15">
      <c r="A403" s="66" t="s">
        <v>590</v>
      </c>
      <c r="B403" s="67"/>
      <c r="C403" s="67"/>
      <c r="D403" s="68">
        <v>50</v>
      </c>
      <c r="E403" s="70"/>
      <c r="F403" s="105" t="str">
        <f>HYPERLINK("https://yt3.ggpht.com/ytc/AIf8zZRI-rzIarE8cGdFQKSaY7K2DgyKPh1bdPvx4g=s88-c-k-c0x00ffffff-no-rj")</f>
        <v>https://yt3.ggpht.com/ytc/AIf8zZRI-rzIarE8cGdFQKSaY7K2DgyKPh1bdPvx4g=s88-c-k-c0x00ffffff-no-rj</v>
      </c>
      <c r="G403" s="67"/>
      <c r="H403" s="71" t="s">
        <v>2822</v>
      </c>
      <c r="I403" s="72"/>
      <c r="J403" s="72" t="s">
        <v>159</v>
      </c>
      <c r="K403" s="71" t="s">
        <v>2822</v>
      </c>
      <c r="L403" s="75">
        <v>1</v>
      </c>
      <c r="M403" s="76">
        <v>4279.73193359375</v>
      </c>
      <c r="N403" s="76">
        <v>8763.1171875</v>
      </c>
      <c r="O403" s="77"/>
      <c r="P403" s="78"/>
      <c r="Q403" s="78"/>
      <c r="R403" s="90"/>
      <c r="S403" s="49">
        <v>0</v>
      </c>
      <c r="T403" s="49">
        <v>1</v>
      </c>
      <c r="U403" s="50">
        <v>0</v>
      </c>
      <c r="V403" s="50">
        <v>0.209338</v>
      </c>
      <c r="W403" s="51"/>
      <c r="X403" s="51"/>
      <c r="Y403" s="51"/>
      <c r="Z403" s="50"/>
      <c r="AA403" s="73">
        <v>403</v>
      </c>
      <c r="AB403" s="73"/>
      <c r="AC403" s="74"/>
      <c r="AD403" s="81" t="s">
        <v>2822</v>
      </c>
      <c r="AE403" s="81"/>
      <c r="AF403" s="81"/>
      <c r="AG403" s="81"/>
      <c r="AH403" s="81"/>
      <c r="AI403" s="81" t="s">
        <v>2056</v>
      </c>
      <c r="AJ403" s="88">
        <v>40846.60916666667</v>
      </c>
      <c r="AK403" s="86" t="str">
        <f>HYPERLINK("https://yt3.ggpht.com/ytc/AIf8zZRI-rzIarE8cGdFQKSaY7K2DgyKPh1bdPvx4g=s88-c-k-c0x00ffffff-no-rj")</f>
        <v>https://yt3.ggpht.com/ytc/AIf8zZRI-rzIarE8cGdFQKSaY7K2DgyKPh1bdPvx4g=s88-c-k-c0x00ffffff-no-rj</v>
      </c>
      <c r="AL403" s="81">
        <v>0</v>
      </c>
      <c r="AM403" s="81">
        <v>0</v>
      </c>
      <c r="AN403" s="81">
        <v>0</v>
      </c>
      <c r="AO403" s="81" t="b">
        <v>0</v>
      </c>
      <c r="AP403" s="81">
        <v>0</v>
      </c>
      <c r="AQ403" s="81"/>
      <c r="AR403" s="81"/>
      <c r="AS403" s="81" t="s">
        <v>3378</v>
      </c>
      <c r="AT403" s="86" t="str">
        <f>HYPERLINK("https://www.youtube.com/channel/UCPKyiavT3ALMFLhph_0KVUA")</f>
        <v>https://www.youtube.com/channel/UCPKyiavT3ALMFLhph_0KVUA</v>
      </c>
      <c r="AU403" s="81" t="str">
        <f>REPLACE(INDEX(GroupVertices[Group],MATCH("~"&amp;Vertices[[#This Row],[Vertex]],GroupVertices[Vertex],0)),1,1,"")</f>
        <v>3</v>
      </c>
      <c r="AV403" s="49"/>
      <c r="AW403" s="49"/>
      <c r="AX403" s="49"/>
      <c r="AY403" s="49"/>
      <c r="AZ403" s="49"/>
      <c r="BA403" s="49"/>
      <c r="BB403" s="117" t="s">
        <v>4060</v>
      </c>
      <c r="BC403" s="117" t="s">
        <v>4060</v>
      </c>
      <c r="BD403" s="117" t="s">
        <v>4749</v>
      </c>
      <c r="BE403" s="117" t="s">
        <v>4749</v>
      </c>
      <c r="BF403" s="2"/>
      <c r="BG403" s="3"/>
      <c r="BH403" s="3"/>
      <c r="BI403" s="3"/>
      <c r="BJ403" s="3"/>
    </row>
    <row r="404" spans="1:62" ht="15">
      <c r="A404" s="66" t="s">
        <v>591</v>
      </c>
      <c r="B404" s="67"/>
      <c r="C404" s="67"/>
      <c r="D404" s="68">
        <v>50</v>
      </c>
      <c r="E404" s="70"/>
      <c r="F404" s="105" t="str">
        <f>HYPERLINK("https://yt3.ggpht.com/ytc/AIf8zZRS4Uee7hCIwDaG4pHr1qBZO2s_wQ-XPxfLG98Lmg=s88-c-k-c0x00ffffff-no-rj")</f>
        <v>https://yt3.ggpht.com/ytc/AIf8zZRS4Uee7hCIwDaG4pHr1qBZO2s_wQ-XPxfLG98Lmg=s88-c-k-c0x00ffffff-no-rj</v>
      </c>
      <c r="G404" s="67"/>
      <c r="H404" s="71" t="s">
        <v>2823</v>
      </c>
      <c r="I404" s="72"/>
      <c r="J404" s="72" t="s">
        <v>159</v>
      </c>
      <c r="K404" s="71" t="s">
        <v>2823</v>
      </c>
      <c r="L404" s="75">
        <v>1</v>
      </c>
      <c r="M404" s="76">
        <v>5810.28125</v>
      </c>
      <c r="N404" s="76">
        <v>9762.84375</v>
      </c>
      <c r="O404" s="77"/>
      <c r="P404" s="78"/>
      <c r="Q404" s="78"/>
      <c r="R404" s="90"/>
      <c r="S404" s="49">
        <v>0</v>
      </c>
      <c r="T404" s="49">
        <v>1</v>
      </c>
      <c r="U404" s="50">
        <v>0</v>
      </c>
      <c r="V404" s="50">
        <v>0.209338</v>
      </c>
      <c r="W404" s="51"/>
      <c r="X404" s="51"/>
      <c r="Y404" s="51"/>
      <c r="Z404" s="50"/>
      <c r="AA404" s="73">
        <v>404</v>
      </c>
      <c r="AB404" s="73"/>
      <c r="AC404" s="74"/>
      <c r="AD404" s="81" t="s">
        <v>2823</v>
      </c>
      <c r="AE404" s="81"/>
      <c r="AF404" s="81"/>
      <c r="AG404" s="81"/>
      <c r="AH404" s="81"/>
      <c r="AI404" s="81" t="s">
        <v>2057</v>
      </c>
      <c r="AJ404" s="88">
        <v>41091.76298611111</v>
      </c>
      <c r="AK404" s="86" t="str">
        <f>HYPERLINK("https://yt3.ggpht.com/ytc/AIf8zZRS4Uee7hCIwDaG4pHr1qBZO2s_wQ-XPxfLG98Lmg=s88-c-k-c0x00ffffff-no-rj")</f>
        <v>https://yt3.ggpht.com/ytc/AIf8zZRS4Uee7hCIwDaG4pHr1qBZO2s_wQ-XPxfLG98Lmg=s88-c-k-c0x00ffffff-no-rj</v>
      </c>
      <c r="AL404" s="81">
        <v>0</v>
      </c>
      <c r="AM404" s="81">
        <v>0</v>
      </c>
      <c r="AN404" s="81">
        <v>0</v>
      </c>
      <c r="AO404" s="81" t="b">
        <v>0</v>
      </c>
      <c r="AP404" s="81">
        <v>0</v>
      </c>
      <c r="AQ404" s="81"/>
      <c r="AR404" s="81"/>
      <c r="AS404" s="81" t="s">
        <v>3378</v>
      </c>
      <c r="AT404" s="86" t="str">
        <f>HYPERLINK("https://www.youtube.com/channel/UC3B1hVDU9rwY1X_NPRXPmXA")</f>
        <v>https://www.youtube.com/channel/UC3B1hVDU9rwY1X_NPRXPmXA</v>
      </c>
      <c r="AU404" s="81" t="str">
        <f>REPLACE(INDEX(GroupVertices[Group],MATCH("~"&amp;Vertices[[#This Row],[Vertex]],GroupVertices[Vertex],0)),1,1,"")</f>
        <v>3</v>
      </c>
      <c r="AV404" s="49"/>
      <c r="AW404" s="49"/>
      <c r="AX404" s="49"/>
      <c r="AY404" s="49"/>
      <c r="AZ404" s="49"/>
      <c r="BA404" s="49"/>
      <c r="BB404" s="117" t="s">
        <v>4061</v>
      </c>
      <c r="BC404" s="117" t="s">
        <v>4061</v>
      </c>
      <c r="BD404" s="117" t="s">
        <v>4750</v>
      </c>
      <c r="BE404" s="117" t="s">
        <v>4750</v>
      </c>
      <c r="BF404" s="2"/>
      <c r="BG404" s="3"/>
      <c r="BH404" s="3"/>
      <c r="BI404" s="3"/>
      <c r="BJ404" s="3"/>
    </row>
    <row r="405" spans="1:62" ht="15">
      <c r="A405" s="66" t="s">
        <v>592</v>
      </c>
      <c r="B405" s="67"/>
      <c r="C405" s="67"/>
      <c r="D405" s="68">
        <v>50</v>
      </c>
      <c r="E405" s="70"/>
      <c r="F405" s="105" t="str">
        <f>HYPERLINK("https://yt3.ggpht.com/ytc/AIf8zZTTWA84SsfYnFUSE2U5L-lOGZN0NklDt3KriokjFg=s88-c-k-c0x00ffffff-no-rj")</f>
        <v>https://yt3.ggpht.com/ytc/AIf8zZTTWA84SsfYnFUSE2U5L-lOGZN0NklDt3KriokjFg=s88-c-k-c0x00ffffff-no-rj</v>
      </c>
      <c r="G405" s="67"/>
      <c r="H405" s="71" t="s">
        <v>2824</v>
      </c>
      <c r="I405" s="72"/>
      <c r="J405" s="72" t="s">
        <v>159</v>
      </c>
      <c r="K405" s="71" t="s">
        <v>2824</v>
      </c>
      <c r="L405" s="75">
        <v>1</v>
      </c>
      <c r="M405" s="76">
        <v>4880.07763671875</v>
      </c>
      <c r="N405" s="76">
        <v>9192.443359375</v>
      </c>
      <c r="O405" s="77"/>
      <c r="P405" s="78"/>
      <c r="Q405" s="78"/>
      <c r="R405" s="90"/>
      <c r="S405" s="49">
        <v>0</v>
      </c>
      <c r="T405" s="49">
        <v>1</v>
      </c>
      <c r="U405" s="50">
        <v>0</v>
      </c>
      <c r="V405" s="50">
        <v>0.209338</v>
      </c>
      <c r="W405" s="51"/>
      <c r="X405" s="51"/>
      <c r="Y405" s="51"/>
      <c r="Z405" s="50"/>
      <c r="AA405" s="73">
        <v>405</v>
      </c>
      <c r="AB405" s="73"/>
      <c r="AC405" s="74"/>
      <c r="AD405" s="81" t="s">
        <v>2824</v>
      </c>
      <c r="AE405" s="81"/>
      <c r="AF405" s="81"/>
      <c r="AG405" s="81"/>
      <c r="AH405" s="81"/>
      <c r="AI405" s="81" t="s">
        <v>2058</v>
      </c>
      <c r="AJ405" s="88">
        <v>39671.90275462963</v>
      </c>
      <c r="AK405" s="86" t="str">
        <f>HYPERLINK("https://yt3.ggpht.com/ytc/AIf8zZTTWA84SsfYnFUSE2U5L-lOGZN0NklDt3KriokjFg=s88-c-k-c0x00ffffff-no-rj")</f>
        <v>https://yt3.ggpht.com/ytc/AIf8zZTTWA84SsfYnFUSE2U5L-lOGZN0NklDt3KriokjFg=s88-c-k-c0x00ffffff-no-rj</v>
      </c>
      <c r="AL405" s="81">
        <v>0</v>
      </c>
      <c r="AM405" s="81">
        <v>0</v>
      </c>
      <c r="AN405" s="81">
        <v>11</v>
      </c>
      <c r="AO405" s="81" t="b">
        <v>0</v>
      </c>
      <c r="AP405" s="81">
        <v>0</v>
      </c>
      <c r="AQ405" s="81"/>
      <c r="AR405" s="81"/>
      <c r="AS405" s="81" t="s">
        <v>3378</v>
      </c>
      <c r="AT405" s="86" t="str">
        <f>HYPERLINK("https://www.youtube.com/channel/UC2bCxJ_Q3skQqjDUrnTEi3Q")</f>
        <v>https://www.youtube.com/channel/UC2bCxJ_Q3skQqjDUrnTEi3Q</v>
      </c>
      <c r="AU405" s="81" t="str">
        <f>REPLACE(INDEX(GroupVertices[Group],MATCH("~"&amp;Vertices[[#This Row],[Vertex]],GroupVertices[Vertex],0)),1,1,"")</f>
        <v>3</v>
      </c>
      <c r="AV405" s="49" t="s">
        <v>3449</v>
      </c>
      <c r="AW405" s="49" t="s">
        <v>3449</v>
      </c>
      <c r="AX405" s="49" t="s">
        <v>3523</v>
      </c>
      <c r="AY405" s="49" t="s">
        <v>3523</v>
      </c>
      <c r="AZ405" s="49"/>
      <c r="BA405" s="49"/>
      <c r="BB405" s="117" t="s">
        <v>4062</v>
      </c>
      <c r="BC405" s="117" t="s">
        <v>4368</v>
      </c>
      <c r="BD405" s="117" t="s">
        <v>4751</v>
      </c>
      <c r="BE405" s="117" t="s">
        <v>4751</v>
      </c>
      <c r="BF405" s="2"/>
      <c r="BG405" s="3"/>
      <c r="BH405" s="3"/>
      <c r="BI405" s="3"/>
      <c r="BJ405" s="3"/>
    </row>
    <row r="406" spans="1:62" ht="15">
      <c r="A406" s="66" t="s">
        <v>593</v>
      </c>
      <c r="B406" s="67"/>
      <c r="C406" s="67"/>
      <c r="D406" s="68">
        <v>50</v>
      </c>
      <c r="E406" s="70"/>
      <c r="F406" s="105" t="str">
        <f>HYPERLINK("https://yt3.ggpht.com/ytc/AIf8zZSu9wm47TZ2316nE_57CDX6Wd6R4hdS5RiUfDaE-BUfizb-_4vkbvsX67ndlqQ5=s88-c-k-c0x00ffffff-no-rj")</f>
        <v>https://yt3.ggpht.com/ytc/AIf8zZSu9wm47TZ2316nE_57CDX6Wd6R4hdS5RiUfDaE-BUfizb-_4vkbvsX67ndlqQ5=s88-c-k-c0x00ffffff-no-rj</v>
      </c>
      <c r="G406" s="67"/>
      <c r="H406" s="71" t="s">
        <v>2468</v>
      </c>
      <c r="I406" s="72"/>
      <c r="J406" s="72" t="s">
        <v>159</v>
      </c>
      <c r="K406" s="71" t="s">
        <v>2468</v>
      </c>
      <c r="L406" s="75">
        <v>1</v>
      </c>
      <c r="M406" s="76">
        <v>6004.244140625</v>
      </c>
      <c r="N406" s="76">
        <v>8414.91015625</v>
      </c>
      <c r="O406" s="77"/>
      <c r="P406" s="78"/>
      <c r="Q406" s="78"/>
      <c r="R406" s="90"/>
      <c r="S406" s="49">
        <v>0</v>
      </c>
      <c r="T406" s="49">
        <v>1</v>
      </c>
      <c r="U406" s="50">
        <v>0</v>
      </c>
      <c r="V406" s="50">
        <v>0.209338</v>
      </c>
      <c r="W406" s="51"/>
      <c r="X406" s="51"/>
      <c r="Y406" s="51"/>
      <c r="Z406" s="50"/>
      <c r="AA406" s="73">
        <v>406</v>
      </c>
      <c r="AB406" s="73"/>
      <c r="AC406" s="74"/>
      <c r="AD406" s="81" t="s">
        <v>2468</v>
      </c>
      <c r="AE406" s="81"/>
      <c r="AF406" s="81"/>
      <c r="AG406" s="81"/>
      <c r="AH406" s="81"/>
      <c r="AI406" s="81" t="s">
        <v>3308</v>
      </c>
      <c r="AJ406" s="88">
        <v>45162.58850694444</v>
      </c>
      <c r="AK406" s="86" t="str">
        <f>HYPERLINK("https://yt3.ggpht.com/ytc/AIf8zZSu9wm47TZ2316nE_57CDX6Wd6R4hdS5RiUfDaE-BUfizb-_4vkbvsX67ndlqQ5=s88-c-k-c0x00ffffff-no-rj")</f>
        <v>https://yt3.ggpht.com/ytc/AIf8zZSu9wm47TZ2316nE_57CDX6Wd6R4hdS5RiUfDaE-BUfizb-_4vkbvsX67ndlqQ5=s88-c-k-c0x00ffffff-no-rj</v>
      </c>
      <c r="AL406" s="81">
        <v>0</v>
      </c>
      <c r="AM406" s="81">
        <v>0</v>
      </c>
      <c r="AN406" s="81">
        <v>0</v>
      </c>
      <c r="AO406" s="81" t="b">
        <v>0</v>
      </c>
      <c r="AP406" s="81">
        <v>0</v>
      </c>
      <c r="AQ406" s="81"/>
      <c r="AR406" s="81"/>
      <c r="AS406" s="81" t="s">
        <v>3378</v>
      </c>
      <c r="AT406" s="86" t="str">
        <f>HYPERLINK("https://www.youtube.com/channel/UCOeeO42-Y0XU9W7JS73834A")</f>
        <v>https://www.youtube.com/channel/UCOeeO42-Y0XU9W7JS73834A</v>
      </c>
      <c r="AU406" s="81" t="str">
        <f>REPLACE(INDEX(GroupVertices[Group],MATCH("~"&amp;Vertices[[#This Row],[Vertex]],GroupVertices[Vertex],0)),1,1,"")</f>
        <v>3</v>
      </c>
      <c r="AV406" s="49"/>
      <c r="AW406" s="49"/>
      <c r="AX406" s="49"/>
      <c r="AY406" s="49"/>
      <c r="AZ406" s="49"/>
      <c r="BA406" s="49"/>
      <c r="BB406" s="117" t="s">
        <v>4063</v>
      </c>
      <c r="BC406" s="117" t="s">
        <v>4063</v>
      </c>
      <c r="BD406" s="117" t="s">
        <v>4752</v>
      </c>
      <c r="BE406" s="117" t="s">
        <v>4752</v>
      </c>
      <c r="BF406" s="2"/>
      <c r="BG406" s="3"/>
      <c r="BH406" s="3"/>
      <c r="BI406" s="3"/>
      <c r="BJ406" s="3"/>
    </row>
    <row r="407" spans="1:62" ht="15">
      <c r="A407" s="66" t="s">
        <v>594</v>
      </c>
      <c r="B407" s="67"/>
      <c r="C407" s="67"/>
      <c r="D407" s="68">
        <v>50</v>
      </c>
      <c r="E407" s="70"/>
      <c r="F407" s="105" t="str">
        <f>HYPERLINK("https://yt3.ggpht.com/ytc/AIf8zZQ7vvzytKuI00cpQcqZpfET2SqmVujaK7vHpkMA=s88-c-k-c0x00ffffff-no-rj")</f>
        <v>https://yt3.ggpht.com/ytc/AIf8zZQ7vvzytKuI00cpQcqZpfET2SqmVujaK7vHpkMA=s88-c-k-c0x00ffffff-no-rj</v>
      </c>
      <c r="G407" s="67"/>
      <c r="H407" s="71" t="s">
        <v>2825</v>
      </c>
      <c r="I407" s="72"/>
      <c r="J407" s="72" t="s">
        <v>159</v>
      </c>
      <c r="K407" s="71" t="s">
        <v>2825</v>
      </c>
      <c r="L407" s="75">
        <v>1</v>
      </c>
      <c r="M407" s="76">
        <v>4176.55615234375</v>
      </c>
      <c r="N407" s="76">
        <v>8373.9716796875</v>
      </c>
      <c r="O407" s="77"/>
      <c r="P407" s="78"/>
      <c r="Q407" s="78"/>
      <c r="R407" s="90"/>
      <c r="S407" s="49">
        <v>0</v>
      </c>
      <c r="T407" s="49">
        <v>1</v>
      </c>
      <c r="U407" s="50">
        <v>0</v>
      </c>
      <c r="V407" s="50">
        <v>0.209338</v>
      </c>
      <c r="W407" s="51"/>
      <c r="X407" s="51"/>
      <c r="Y407" s="51"/>
      <c r="Z407" s="50"/>
      <c r="AA407" s="73">
        <v>407</v>
      </c>
      <c r="AB407" s="73"/>
      <c r="AC407" s="74"/>
      <c r="AD407" s="81" t="s">
        <v>2825</v>
      </c>
      <c r="AE407" s="81"/>
      <c r="AF407" s="81"/>
      <c r="AG407" s="81"/>
      <c r="AH407" s="81"/>
      <c r="AI407" s="81" t="s">
        <v>3309</v>
      </c>
      <c r="AJ407" s="88">
        <v>39609.4121875</v>
      </c>
      <c r="AK407" s="86" t="str">
        <f>HYPERLINK("https://yt3.ggpht.com/ytc/AIf8zZQ7vvzytKuI00cpQcqZpfET2SqmVujaK7vHpkMA=s88-c-k-c0x00ffffff-no-rj")</f>
        <v>https://yt3.ggpht.com/ytc/AIf8zZQ7vvzytKuI00cpQcqZpfET2SqmVujaK7vHpkMA=s88-c-k-c0x00ffffff-no-rj</v>
      </c>
      <c r="AL407" s="81">
        <v>0</v>
      </c>
      <c r="AM407" s="81">
        <v>0</v>
      </c>
      <c r="AN407" s="81">
        <v>1</v>
      </c>
      <c r="AO407" s="81" t="b">
        <v>0</v>
      </c>
      <c r="AP407" s="81">
        <v>0</v>
      </c>
      <c r="AQ407" s="81"/>
      <c r="AR407" s="81"/>
      <c r="AS407" s="81" t="s">
        <v>3378</v>
      </c>
      <c r="AT407" s="86" t="str">
        <f>HYPERLINK("https://www.youtube.com/channel/UC2yDolvO9RcH4sBwTgYo03Q")</f>
        <v>https://www.youtube.com/channel/UC2yDolvO9RcH4sBwTgYo03Q</v>
      </c>
      <c r="AU407" s="81" t="str">
        <f>REPLACE(INDEX(GroupVertices[Group],MATCH("~"&amp;Vertices[[#This Row],[Vertex]],GroupVertices[Vertex],0)),1,1,"")</f>
        <v>3</v>
      </c>
      <c r="AV407" s="49"/>
      <c r="AW407" s="49"/>
      <c r="AX407" s="49"/>
      <c r="AY407" s="49"/>
      <c r="AZ407" s="49"/>
      <c r="BA407" s="49"/>
      <c r="BB407" s="117" t="s">
        <v>4064</v>
      </c>
      <c r="BC407" s="117" t="s">
        <v>4064</v>
      </c>
      <c r="BD407" s="117" t="s">
        <v>4753</v>
      </c>
      <c r="BE407" s="117" t="s">
        <v>4753</v>
      </c>
      <c r="BF407" s="2"/>
      <c r="BG407" s="3"/>
      <c r="BH407" s="3"/>
      <c r="BI407" s="3"/>
      <c r="BJ407" s="3"/>
    </row>
    <row r="408" spans="1:62" ht="15">
      <c r="A408" s="66" t="s">
        <v>595</v>
      </c>
      <c r="B408" s="67"/>
      <c r="C408" s="67"/>
      <c r="D408" s="68">
        <v>50</v>
      </c>
      <c r="E408" s="70"/>
      <c r="F408" s="105" t="str">
        <f>HYPERLINK("https://yt3.ggpht.com/ytc/AIf8zZQVP3wUY_4m6mXOHE2TOX58Dr5PZds7BkQx7w=s88-c-k-c0x00ffffff-no-rj")</f>
        <v>https://yt3.ggpht.com/ytc/AIf8zZQVP3wUY_4m6mXOHE2TOX58Dr5PZds7BkQx7w=s88-c-k-c0x00ffffff-no-rj</v>
      </c>
      <c r="G408" s="67"/>
      <c r="H408" s="71" t="s">
        <v>2826</v>
      </c>
      <c r="I408" s="72"/>
      <c r="J408" s="72" t="s">
        <v>159</v>
      </c>
      <c r="K408" s="71" t="s">
        <v>2826</v>
      </c>
      <c r="L408" s="75">
        <v>1</v>
      </c>
      <c r="M408" s="76">
        <v>4735.76953125</v>
      </c>
      <c r="N408" s="76">
        <v>5962.40087890625</v>
      </c>
      <c r="O408" s="77"/>
      <c r="P408" s="78"/>
      <c r="Q408" s="78"/>
      <c r="R408" s="90"/>
      <c r="S408" s="49">
        <v>0</v>
      </c>
      <c r="T408" s="49">
        <v>1</v>
      </c>
      <c r="U408" s="50">
        <v>0</v>
      </c>
      <c r="V408" s="50">
        <v>0.209338</v>
      </c>
      <c r="W408" s="51"/>
      <c r="X408" s="51"/>
      <c r="Y408" s="51"/>
      <c r="Z408" s="50"/>
      <c r="AA408" s="73">
        <v>408</v>
      </c>
      <c r="AB408" s="73"/>
      <c r="AC408" s="74"/>
      <c r="AD408" s="81" t="s">
        <v>2826</v>
      </c>
      <c r="AE408" s="81"/>
      <c r="AF408" s="81"/>
      <c r="AG408" s="81"/>
      <c r="AH408" s="81"/>
      <c r="AI408" s="81" t="s">
        <v>3310</v>
      </c>
      <c r="AJ408" s="88">
        <v>40156.0465625</v>
      </c>
      <c r="AK408" s="86" t="str">
        <f>HYPERLINK("https://yt3.ggpht.com/ytc/AIf8zZQVP3wUY_4m6mXOHE2TOX58Dr5PZds7BkQx7w=s88-c-k-c0x00ffffff-no-rj")</f>
        <v>https://yt3.ggpht.com/ytc/AIf8zZQVP3wUY_4m6mXOHE2TOX58Dr5PZds7BkQx7w=s88-c-k-c0x00ffffff-no-rj</v>
      </c>
      <c r="AL408" s="81">
        <v>0</v>
      </c>
      <c r="AM408" s="81">
        <v>0</v>
      </c>
      <c r="AN408" s="81">
        <v>1</v>
      </c>
      <c r="AO408" s="81" t="b">
        <v>0</v>
      </c>
      <c r="AP408" s="81">
        <v>0</v>
      </c>
      <c r="AQ408" s="81"/>
      <c r="AR408" s="81"/>
      <c r="AS408" s="81" t="s">
        <v>3378</v>
      </c>
      <c r="AT408" s="86" t="str">
        <f>HYPERLINK("https://www.youtube.com/channel/UC3t0vabNz4_sZaZBtv2lntQ")</f>
        <v>https://www.youtube.com/channel/UC3t0vabNz4_sZaZBtv2lntQ</v>
      </c>
      <c r="AU408" s="81" t="str">
        <f>REPLACE(INDEX(GroupVertices[Group],MATCH("~"&amp;Vertices[[#This Row],[Vertex]],GroupVertices[Vertex],0)),1,1,"")</f>
        <v>3</v>
      </c>
      <c r="AV408" s="49"/>
      <c r="AW408" s="49"/>
      <c r="AX408" s="49"/>
      <c r="AY408" s="49"/>
      <c r="AZ408" s="49"/>
      <c r="BA408" s="49"/>
      <c r="BB408" s="117" t="s">
        <v>4065</v>
      </c>
      <c r="BC408" s="117" t="s">
        <v>4065</v>
      </c>
      <c r="BD408" s="117" t="s">
        <v>4754</v>
      </c>
      <c r="BE408" s="117" t="s">
        <v>4754</v>
      </c>
      <c r="BF408" s="2"/>
      <c r="BG408" s="3"/>
      <c r="BH408" s="3"/>
      <c r="BI408" s="3"/>
      <c r="BJ408" s="3"/>
    </row>
    <row r="409" spans="1:62" ht="15">
      <c r="A409" s="66" t="s">
        <v>596</v>
      </c>
      <c r="B409" s="67"/>
      <c r="C409" s="67"/>
      <c r="D409" s="68">
        <v>50</v>
      </c>
      <c r="E409" s="70"/>
      <c r="F409" s="105" t="str">
        <f>HYPERLINK("https://yt3.ggpht.com/ytc/AIf8zZRwtscsXNQJJJRIYaqg-1UyufTJE3cuCyMhOUE-IdTe51G1PYnbQE4V2kVrNoNq=s88-c-k-c0x00ffffff-no-rj")</f>
        <v>https://yt3.ggpht.com/ytc/AIf8zZRwtscsXNQJJJRIYaqg-1UyufTJE3cuCyMhOUE-IdTe51G1PYnbQE4V2kVrNoNq=s88-c-k-c0x00ffffff-no-rj</v>
      </c>
      <c r="G409" s="67"/>
      <c r="H409" s="71" t="s">
        <v>2827</v>
      </c>
      <c r="I409" s="72"/>
      <c r="J409" s="72" t="s">
        <v>159</v>
      </c>
      <c r="K409" s="71" t="s">
        <v>2827</v>
      </c>
      <c r="L409" s="75">
        <v>1</v>
      </c>
      <c r="M409" s="76">
        <v>5823.7841796875</v>
      </c>
      <c r="N409" s="76">
        <v>7292.06494140625</v>
      </c>
      <c r="O409" s="77"/>
      <c r="P409" s="78"/>
      <c r="Q409" s="78"/>
      <c r="R409" s="90"/>
      <c r="S409" s="49">
        <v>0</v>
      </c>
      <c r="T409" s="49">
        <v>1</v>
      </c>
      <c r="U409" s="50">
        <v>0</v>
      </c>
      <c r="V409" s="50">
        <v>0.209338</v>
      </c>
      <c r="W409" s="51"/>
      <c r="X409" s="51"/>
      <c r="Y409" s="51"/>
      <c r="Z409" s="50"/>
      <c r="AA409" s="73">
        <v>409</v>
      </c>
      <c r="AB409" s="73"/>
      <c r="AC409" s="74"/>
      <c r="AD409" s="81" t="s">
        <v>2827</v>
      </c>
      <c r="AE409" s="81"/>
      <c r="AF409" s="81"/>
      <c r="AG409" s="81"/>
      <c r="AH409" s="81"/>
      <c r="AI409" s="81" t="s">
        <v>2062</v>
      </c>
      <c r="AJ409" s="88">
        <v>45091.721180555556</v>
      </c>
      <c r="AK409" s="86" t="str">
        <f>HYPERLINK("https://yt3.ggpht.com/ytc/AIf8zZRwtscsXNQJJJRIYaqg-1UyufTJE3cuCyMhOUE-IdTe51G1PYnbQE4V2kVrNoNq=s88-c-k-c0x00ffffff-no-rj")</f>
        <v>https://yt3.ggpht.com/ytc/AIf8zZRwtscsXNQJJJRIYaqg-1UyufTJE3cuCyMhOUE-IdTe51G1PYnbQE4V2kVrNoNq=s88-c-k-c0x00ffffff-no-rj</v>
      </c>
      <c r="AL409" s="81">
        <v>0</v>
      </c>
      <c r="AM409" s="81">
        <v>0</v>
      </c>
      <c r="AN409" s="81">
        <v>0</v>
      </c>
      <c r="AO409" s="81" t="b">
        <v>0</v>
      </c>
      <c r="AP409" s="81">
        <v>0</v>
      </c>
      <c r="AQ409" s="81"/>
      <c r="AR409" s="81"/>
      <c r="AS409" s="81" t="s">
        <v>3378</v>
      </c>
      <c r="AT409" s="86" t="str">
        <f>HYPERLINK("https://www.youtube.com/channel/UCTE1IMyCwR3Ne0Y2FsGq_Ng")</f>
        <v>https://www.youtube.com/channel/UCTE1IMyCwR3Ne0Y2FsGq_Ng</v>
      </c>
      <c r="AU409" s="81" t="str">
        <f>REPLACE(INDEX(GroupVertices[Group],MATCH("~"&amp;Vertices[[#This Row],[Vertex]],GroupVertices[Vertex],0)),1,1,"")</f>
        <v>3</v>
      </c>
      <c r="AV409" s="49"/>
      <c r="AW409" s="49"/>
      <c r="AX409" s="49"/>
      <c r="AY409" s="49"/>
      <c r="AZ409" s="49"/>
      <c r="BA409" s="49"/>
      <c r="BB409" s="117" t="s">
        <v>4066</v>
      </c>
      <c r="BC409" s="117" t="s">
        <v>4066</v>
      </c>
      <c r="BD409" s="117" t="s">
        <v>4755</v>
      </c>
      <c r="BE409" s="117" t="s">
        <v>4755</v>
      </c>
      <c r="BF409" s="2"/>
      <c r="BG409" s="3"/>
      <c r="BH409" s="3"/>
      <c r="BI409" s="3"/>
      <c r="BJ409" s="3"/>
    </row>
    <row r="410" spans="1:62" ht="15">
      <c r="A410" s="66" t="s">
        <v>597</v>
      </c>
      <c r="B410" s="67"/>
      <c r="C410" s="67"/>
      <c r="D410" s="68">
        <v>50</v>
      </c>
      <c r="E410" s="70"/>
      <c r="F410" s="105" t="str">
        <f>HYPERLINK("https://yt3.ggpht.com/ytc/AIf8zZTI_60vWUmYTMCFzTYuWleVl-gXByoX_Kq9jw=s88-c-k-c0x00ffffff-no-rj")</f>
        <v>https://yt3.ggpht.com/ytc/AIf8zZTI_60vWUmYTMCFzTYuWleVl-gXByoX_Kq9jw=s88-c-k-c0x00ffffff-no-rj</v>
      </c>
      <c r="G410" s="67"/>
      <c r="H410" s="71" t="s">
        <v>2828</v>
      </c>
      <c r="I410" s="72"/>
      <c r="J410" s="72" t="s">
        <v>159</v>
      </c>
      <c r="K410" s="71" t="s">
        <v>2828</v>
      </c>
      <c r="L410" s="75">
        <v>1</v>
      </c>
      <c r="M410" s="76">
        <v>6867.67822265625</v>
      </c>
      <c r="N410" s="76">
        <v>8007.1728515625</v>
      </c>
      <c r="O410" s="77"/>
      <c r="P410" s="78"/>
      <c r="Q410" s="78"/>
      <c r="R410" s="90"/>
      <c r="S410" s="49">
        <v>0</v>
      </c>
      <c r="T410" s="49">
        <v>1</v>
      </c>
      <c r="U410" s="50">
        <v>0</v>
      </c>
      <c r="V410" s="50">
        <v>0.209338</v>
      </c>
      <c r="W410" s="51"/>
      <c r="X410" s="51"/>
      <c r="Y410" s="51"/>
      <c r="Z410" s="50"/>
      <c r="AA410" s="73">
        <v>410</v>
      </c>
      <c r="AB410" s="73"/>
      <c r="AC410" s="74"/>
      <c r="AD410" s="81" t="s">
        <v>2828</v>
      </c>
      <c r="AE410" s="81"/>
      <c r="AF410" s="81"/>
      <c r="AG410" s="81"/>
      <c r="AH410" s="81"/>
      <c r="AI410" s="81" t="s">
        <v>2063</v>
      </c>
      <c r="AJ410" s="88">
        <v>41009.09342592592</v>
      </c>
      <c r="AK410" s="86" t="str">
        <f>HYPERLINK("https://yt3.ggpht.com/ytc/AIf8zZTI_60vWUmYTMCFzTYuWleVl-gXByoX_Kq9jw=s88-c-k-c0x00ffffff-no-rj")</f>
        <v>https://yt3.ggpht.com/ytc/AIf8zZTI_60vWUmYTMCFzTYuWleVl-gXByoX_Kq9jw=s88-c-k-c0x00ffffff-no-rj</v>
      </c>
      <c r="AL410" s="81">
        <v>1312</v>
      </c>
      <c r="AM410" s="81">
        <v>0</v>
      </c>
      <c r="AN410" s="81">
        <v>7</v>
      </c>
      <c r="AO410" s="81" t="b">
        <v>0</v>
      </c>
      <c r="AP410" s="81">
        <v>2</v>
      </c>
      <c r="AQ410" s="81"/>
      <c r="AR410" s="81"/>
      <c r="AS410" s="81" t="s">
        <v>3378</v>
      </c>
      <c r="AT410" s="86" t="str">
        <f>HYPERLINK("https://www.youtube.com/channel/UCdRj1sv7oI9YzZ6MhtXVGmw")</f>
        <v>https://www.youtube.com/channel/UCdRj1sv7oI9YzZ6MhtXVGmw</v>
      </c>
      <c r="AU410" s="81" t="str">
        <f>REPLACE(INDEX(GroupVertices[Group],MATCH("~"&amp;Vertices[[#This Row],[Vertex]],GroupVertices[Vertex],0)),1,1,"")</f>
        <v>3</v>
      </c>
      <c r="AV410" s="49"/>
      <c r="AW410" s="49"/>
      <c r="AX410" s="49"/>
      <c r="AY410" s="49"/>
      <c r="AZ410" s="49"/>
      <c r="BA410" s="49"/>
      <c r="BB410" s="117" t="s">
        <v>4067</v>
      </c>
      <c r="BC410" s="117" t="s">
        <v>4067</v>
      </c>
      <c r="BD410" s="117" t="s">
        <v>4756</v>
      </c>
      <c r="BE410" s="117" t="s">
        <v>4756</v>
      </c>
      <c r="BF410" s="2"/>
      <c r="BG410" s="3"/>
      <c r="BH410" s="3"/>
      <c r="BI410" s="3"/>
      <c r="BJ410" s="3"/>
    </row>
    <row r="411" spans="1:62" ht="15">
      <c r="A411" s="66" t="s">
        <v>598</v>
      </c>
      <c r="B411" s="67"/>
      <c r="C411" s="67"/>
      <c r="D411" s="68">
        <v>50</v>
      </c>
      <c r="E411" s="70"/>
      <c r="F411" s="105" t="str">
        <f>HYPERLINK("https://yt3.ggpht.com/ytc/AIf8zZQvPJURez0Xjk6fCsSmDJ8I8mjopDCRskZ2pi_W2Q=s88-c-k-c0x00ffffff-no-rj")</f>
        <v>https://yt3.ggpht.com/ytc/AIf8zZQvPJURez0Xjk6fCsSmDJ8I8mjopDCRskZ2pi_W2Q=s88-c-k-c0x00ffffff-no-rj</v>
      </c>
      <c r="G411" s="67"/>
      <c r="H411" s="71" t="s">
        <v>2829</v>
      </c>
      <c r="I411" s="72"/>
      <c r="J411" s="72" t="s">
        <v>159</v>
      </c>
      <c r="K411" s="71" t="s">
        <v>2829</v>
      </c>
      <c r="L411" s="75">
        <v>1</v>
      </c>
      <c r="M411" s="76">
        <v>6563.4931640625</v>
      </c>
      <c r="N411" s="76">
        <v>6575.9052734375</v>
      </c>
      <c r="O411" s="77"/>
      <c r="P411" s="78"/>
      <c r="Q411" s="78"/>
      <c r="R411" s="90"/>
      <c r="S411" s="49">
        <v>0</v>
      </c>
      <c r="T411" s="49">
        <v>1</v>
      </c>
      <c r="U411" s="50">
        <v>0</v>
      </c>
      <c r="V411" s="50">
        <v>0.209338</v>
      </c>
      <c r="W411" s="51"/>
      <c r="X411" s="51"/>
      <c r="Y411" s="51"/>
      <c r="Z411" s="50"/>
      <c r="AA411" s="73">
        <v>411</v>
      </c>
      <c r="AB411" s="73"/>
      <c r="AC411" s="74"/>
      <c r="AD411" s="81" t="s">
        <v>2829</v>
      </c>
      <c r="AE411" s="81"/>
      <c r="AF411" s="81"/>
      <c r="AG411" s="81"/>
      <c r="AH411" s="81"/>
      <c r="AI411" s="81" t="s">
        <v>2064</v>
      </c>
      <c r="AJ411" s="88">
        <v>40755.60711805556</v>
      </c>
      <c r="AK411" s="86" t="str">
        <f>HYPERLINK("https://yt3.ggpht.com/ytc/AIf8zZQvPJURez0Xjk6fCsSmDJ8I8mjopDCRskZ2pi_W2Q=s88-c-k-c0x00ffffff-no-rj")</f>
        <v>https://yt3.ggpht.com/ytc/AIf8zZQvPJURez0Xjk6fCsSmDJ8I8mjopDCRskZ2pi_W2Q=s88-c-k-c0x00ffffff-no-rj</v>
      </c>
      <c r="AL411" s="81">
        <v>0</v>
      </c>
      <c r="AM411" s="81">
        <v>0</v>
      </c>
      <c r="AN411" s="81">
        <v>0</v>
      </c>
      <c r="AO411" s="81" t="b">
        <v>0</v>
      </c>
      <c r="AP411" s="81">
        <v>0</v>
      </c>
      <c r="AQ411" s="81"/>
      <c r="AR411" s="81"/>
      <c r="AS411" s="81" t="s">
        <v>3378</v>
      </c>
      <c r="AT411" s="86" t="str">
        <f>HYPERLINK("https://www.youtube.com/channel/UCg5slShaD8AOyf3Fjkx4S6g")</f>
        <v>https://www.youtube.com/channel/UCg5slShaD8AOyf3Fjkx4S6g</v>
      </c>
      <c r="AU411" s="81" t="str">
        <f>REPLACE(INDEX(GroupVertices[Group],MATCH("~"&amp;Vertices[[#This Row],[Vertex]],GroupVertices[Vertex],0)),1,1,"")</f>
        <v>3</v>
      </c>
      <c r="AV411" s="49"/>
      <c r="AW411" s="49"/>
      <c r="AX411" s="49"/>
      <c r="AY411" s="49"/>
      <c r="AZ411" s="49"/>
      <c r="BA411" s="49"/>
      <c r="BB411" s="117" t="s">
        <v>4068</v>
      </c>
      <c r="BC411" s="117" t="s">
        <v>4068</v>
      </c>
      <c r="BD411" s="117" t="s">
        <v>4757</v>
      </c>
      <c r="BE411" s="117" t="s">
        <v>4757</v>
      </c>
      <c r="BF411" s="2"/>
      <c r="BG411" s="3"/>
      <c r="BH411" s="3"/>
      <c r="BI411" s="3"/>
      <c r="BJ411" s="3"/>
    </row>
    <row r="412" spans="1:62" ht="15">
      <c r="A412" s="66" t="s">
        <v>599</v>
      </c>
      <c r="B412" s="67"/>
      <c r="C412" s="67"/>
      <c r="D412" s="68">
        <v>50</v>
      </c>
      <c r="E412" s="70"/>
      <c r="F412" s="105" t="str">
        <f>HYPERLINK("https://yt3.ggpht.com/ytc/AIf8zZTUApHBhIUkw3_4LFUMt1dziNg51jSfztIyShXZ=s88-c-k-c0x00ffffff-no-rj")</f>
        <v>https://yt3.ggpht.com/ytc/AIf8zZTUApHBhIUkw3_4LFUMt1dziNg51jSfztIyShXZ=s88-c-k-c0x00ffffff-no-rj</v>
      </c>
      <c r="G412" s="67"/>
      <c r="H412" s="71" t="s">
        <v>2830</v>
      </c>
      <c r="I412" s="72"/>
      <c r="J412" s="72" t="s">
        <v>159</v>
      </c>
      <c r="K412" s="71" t="s">
        <v>2830</v>
      </c>
      <c r="L412" s="75">
        <v>1</v>
      </c>
      <c r="M412" s="76">
        <v>6509.404296875</v>
      </c>
      <c r="N412" s="76">
        <v>8595.5634765625</v>
      </c>
      <c r="O412" s="77"/>
      <c r="P412" s="78"/>
      <c r="Q412" s="78"/>
      <c r="R412" s="90"/>
      <c r="S412" s="49">
        <v>0</v>
      </c>
      <c r="T412" s="49">
        <v>1</v>
      </c>
      <c r="U412" s="50">
        <v>0</v>
      </c>
      <c r="V412" s="50">
        <v>0.209338</v>
      </c>
      <c r="W412" s="51"/>
      <c r="X412" s="51"/>
      <c r="Y412" s="51"/>
      <c r="Z412" s="50"/>
      <c r="AA412" s="73">
        <v>412</v>
      </c>
      <c r="AB412" s="73"/>
      <c r="AC412" s="74"/>
      <c r="AD412" s="81" t="s">
        <v>2830</v>
      </c>
      <c r="AE412" s="81" t="s">
        <v>3183</v>
      </c>
      <c r="AF412" s="81"/>
      <c r="AG412" s="81"/>
      <c r="AH412" s="81"/>
      <c r="AI412" s="81" t="s">
        <v>3311</v>
      </c>
      <c r="AJ412" s="88">
        <v>39910.24230324074</v>
      </c>
      <c r="AK412" s="86" t="str">
        <f>HYPERLINK("https://yt3.ggpht.com/ytc/AIf8zZTUApHBhIUkw3_4LFUMt1dziNg51jSfztIyShXZ=s88-c-k-c0x00ffffff-no-rj")</f>
        <v>https://yt3.ggpht.com/ytc/AIf8zZTUApHBhIUkw3_4LFUMt1dziNg51jSfztIyShXZ=s88-c-k-c0x00ffffff-no-rj</v>
      </c>
      <c r="AL412" s="81">
        <v>3623</v>
      </c>
      <c r="AM412" s="81">
        <v>0</v>
      </c>
      <c r="AN412" s="81">
        <v>86</v>
      </c>
      <c r="AO412" s="81" t="b">
        <v>0</v>
      </c>
      <c r="AP412" s="81">
        <v>4</v>
      </c>
      <c r="AQ412" s="81"/>
      <c r="AR412" s="81"/>
      <c r="AS412" s="81" t="s">
        <v>3378</v>
      </c>
      <c r="AT412" s="86" t="str">
        <f>HYPERLINK("https://www.youtube.com/channel/UCnwhK7Pf6xJ635mvBLTYtVA")</f>
        <v>https://www.youtube.com/channel/UCnwhK7Pf6xJ635mvBLTYtVA</v>
      </c>
      <c r="AU412" s="81" t="str">
        <f>REPLACE(INDEX(GroupVertices[Group],MATCH("~"&amp;Vertices[[#This Row],[Vertex]],GroupVertices[Vertex],0)),1,1,"")</f>
        <v>3</v>
      </c>
      <c r="AV412" s="49"/>
      <c r="AW412" s="49"/>
      <c r="AX412" s="49"/>
      <c r="AY412" s="49"/>
      <c r="AZ412" s="49"/>
      <c r="BA412" s="49"/>
      <c r="BB412" s="117" t="s">
        <v>4069</v>
      </c>
      <c r="BC412" s="117" t="s">
        <v>4069</v>
      </c>
      <c r="BD412" s="117" t="s">
        <v>4758</v>
      </c>
      <c r="BE412" s="117" t="s">
        <v>4758</v>
      </c>
      <c r="BF412" s="2"/>
      <c r="BG412" s="3"/>
      <c r="BH412" s="3"/>
      <c r="BI412" s="3"/>
      <c r="BJ412" s="3"/>
    </row>
    <row r="413" spans="1:62" ht="15">
      <c r="A413" s="66" t="s">
        <v>600</v>
      </c>
      <c r="B413" s="67"/>
      <c r="C413" s="67"/>
      <c r="D413" s="68">
        <v>50</v>
      </c>
      <c r="E413" s="70"/>
      <c r="F413" s="105" t="str">
        <f>HYPERLINK("https://yt3.ggpht.com/3itONbZZ5R5_oGFm_lYuQ2q1RHwi3FDROy9lE4_8p05iwFUmlVwsHkyDmUM-8DE68KHi7vtg=s88-c-k-c0x00ffffff-no-rj")</f>
        <v>https://yt3.ggpht.com/3itONbZZ5R5_oGFm_lYuQ2q1RHwi3FDROy9lE4_8p05iwFUmlVwsHkyDmUM-8DE68KHi7vtg=s88-c-k-c0x00ffffff-no-rj</v>
      </c>
      <c r="G413" s="67"/>
      <c r="H413" s="71" t="s">
        <v>2831</v>
      </c>
      <c r="I413" s="72"/>
      <c r="J413" s="72" t="s">
        <v>159</v>
      </c>
      <c r="K413" s="71" t="s">
        <v>2831</v>
      </c>
      <c r="L413" s="75">
        <v>1</v>
      </c>
      <c r="M413" s="76">
        <v>4394.8955078125</v>
      </c>
      <c r="N413" s="76">
        <v>7059.8642578125</v>
      </c>
      <c r="O413" s="77"/>
      <c r="P413" s="78"/>
      <c r="Q413" s="78"/>
      <c r="R413" s="90"/>
      <c r="S413" s="49">
        <v>0</v>
      </c>
      <c r="T413" s="49">
        <v>1</v>
      </c>
      <c r="U413" s="50">
        <v>0</v>
      </c>
      <c r="V413" s="50">
        <v>0.209338</v>
      </c>
      <c r="W413" s="51"/>
      <c r="X413" s="51"/>
      <c r="Y413" s="51"/>
      <c r="Z413" s="50"/>
      <c r="AA413" s="73">
        <v>413</v>
      </c>
      <c r="AB413" s="73"/>
      <c r="AC413" s="74"/>
      <c r="AD413" s="81" t="s">
        <v>2831</v>
      </c>
      <c r="AE413" s="81"/>
      <c r="AF413" s="81"/>
      <c r="AG413" s="81"/>
      <c r="AH413" s="81"/>
      <c r="AI413" s="81" t="s">
        <v>2066</v>
      </c>
      <c r="AJ413" s="88">
        <v>41544.35377314815</v>
      </c>
      <c r="AK413" s="86" t="str">
        <f>HYPERLINK("https://yt3.ggpht.com/3itONbZZ5R5_oGFm_lYuQ2q1RHwi3FDROy9lE4_8p05iwFUmlVwsHkyDmUM-8DE68KHi7vtg=s88-c-k-c0x00ffffff-no-rj")</f>
        <v>https://yt3.ggpht.com/3itONbZZ5R5_oGFm_lYuQ2q1RHwi3FDROy9lE4_8p05iwFUmlVwsHkyDmUM-8DE68KHi7vtg=s88-c-k-c0x00ffffff-no-rj</v>
      </c>
      <c r="AL413" s="81">
        <v>0</v>
      </c>
      <c r="AM413" s="81">
        <v>0</v>
      </c>
      <c r="AN413" s="81">
        <v>7</v>
      </c>
      <c r="AO413" s="81" t="b">
        <v>0</v>
      </c>
      <c r="AP413" s="81">
        <v>0</v>
      </c>
      <c r="AQ413" s="81"/>
      <c r="AR413" s="81"/>
      <c r="AS413" s="81" t="s">
        <v>3378</v>
      </c>
      <c r="AT413" s="86" t="str">
        <f>HYPERLINK("https://www.youtube.com/channel/UChn8r4R7IyImVZCM-BB9LjA")</f>
        <v>https://www.youtube.com/channel/UChn8r4R7IyImVZCM-BB9LjA</v>
      </c>
      <c r="AU413" s="81" t="str">
        <f>REPLACE(INDEX(GroupVertices[Group],MATCH("~"&amp;Vertices[[#This Row],[Vertex]],GroupVertices[Vertex],0)),1,1,"")</f>
        <v>3</v>
      </c>
      <c r="AV413" s="49"/>
      <c r="AW413" s="49"/>
      <c r="AX413" s="49"/>
      <c r="AY413" s="49"/>
      <c r="AZ413" s="49"/>
      <c r="BA413" s="49"/>
      <c r="BB413" s="117" t="s">
        <v>4070</v>
      </c>
      <c r="BC413" s="117" t="s">
        <v>4070</v>
      </c>
      <c r="BD413" s="117" t="s">
        <v>4759</v>
      </c>
      <c r="BE413" s="117" t="s">
        <v>4759</v>
      </c>
      <c r="BF413" s="2"/>
      <c r="BG413" s="3"/>
      <c r="BH413" s="3"/>
      <c r="BI413" s="3"/>
      <c r="BJ413" s="3"/>
    </row>
    <row r="414" spans="1:62" ht="15">
      <c r="A414" s="66" t="s">
        <v>601</v>
      </c>
      <c r="B414" s="67"/>
      <c r="C414" s="67"/>
      <c r="D414" s="68">
        <v>50</v>
      </c>
      <c r="E414" s="70"/>
      <c r="F414" s="105" t="str">
        <f>HYPERLINK("https://yt3.ggpht.com/ytc/AIf8zZQQB7u1xRzkCeGcJpWkjMmG1uy-graEH_SbxGhVBg=s88-c-k-c0x00ffffff-no-rj")</f>
        <v>https://yt3.ggpht.com/ytc/AIf8zZQQB7u1xRzkCeGcJpWkjMmG1uy-graEH_SbxGhVBg=s88-c-k-c0x00ffffff-no-rj</v>
      </c>
      <c r="G414" s="67"/>
      <c r="H414" s="71" t="s">
        <v>2832</v>
      </c>
      <c r="I414" s="72"/>
      <c r="J414" s="72" t="s">
        <v>159</v>
      </c>
      <c r="K414" s="71" t="s">
        <v>2832</v>
      </c>
      <c r="L414" s="75">
        <v>1</v>
      </c>
      <c r="M414" s="76">
        <v>5724.859375</v>
      </c>
      <c r="N414" s="76">
        <v>7845.02783203125</v>
      </c>
      <c r="O414" s="77"/>
      <c r="P414" s="78"/>
      <c r="Q414" s="78"/>
      <c r="R414" s="90"/>
      <c r="S414" s="49">
        <v>0</v>
      </c>
      <c r="T414" s="49">
        <v>1</v>
      </c>
      <c r="U414" s="50">
        <v>0</v>
      </c>
      <c r="V414" s="50">
        <v>0.209338</v>
      </c>
      <c r="W414" s="51"/>
      <c r="X414" s="51"/>
      <c r="Y414" s="51"/>
      <c r="Z414" s="50"/>
      <c r="AA414" s="73">
        <v>414</v>
      </c>
      <c r="AB414" s="73"/>
      <c r="AC414" s="74"/>
      <c r="AD414" s="81" t="s">
        <v>2832</v>
      </c>
      <c r="AE414" s="81"/>
      <c r="AF414" s="81"/>
      <c r="AG414" s="81"/>
      <c r="AH414" s="81"/>
      <c r="AI414" s="81" t="s">
        <v>2067</v>
      </c>
      <c r="AJ414" s="88">
        <v>41888.09137731481</v>
      </c>
      <c r="AK414" s="86" t="str">
        <f>HYPERLINK("https://yt3.ggpht.com/ytc/AIf8zZQQB7u1xRzkCeGcJpWkjMmG1uy-graEH_SbxGhVBg=s88-c-k-c0x00ffffff-no-rj")</f>
        <v>https://yt3.ggpht.com/ytc/AIf8zZQQB7u1xRzkCeGcJpWkjMmG1uy-graEH_SbxGhVBg=s88-c-k-c0x00ffffff-no-rj</v>
      </c>
      <c r="AL414" s="81">
        <v>0</v>
      </c>
      <c r="AM414" s="81">
        <v>0</v>
      </c>
      <c r="AN414" s="81">
        <v>2</v>
      </c>
      <c r="AO414" s="81" t="b">
        <v>0</v>
      </c>
      <c r="AP414" s="81">
        <v>0</v>
      </c>
      <c r="AQ414" s="81"/>
      <c r="AR414" s="81"/>
      <c r="AS414" s="81" t="s">
        <v>3378</v>
      </c>
      <c r="AT414" s="86" t="str">
        <f>HYPERLINK("https://www.youtube.com/channel/UCDORNkLZoO8awjyjbHfT6MQ")</f>
        <v>https://www.youtube.com/channel/UCDORNkLZoO8awjyjbHfT6MQ</v>
      </c>
      <c r="AU414" s="81" t="str">
        <f>REPLACE(INDEX(GroupVertices[Group],MATCH("~"&amp;Vertices[[#This Row],[Vertex]],GroupVertices[Vertex],0)),1,1,"")</f>
        <v>3</v>
      </c>
      <c r="AV414" s="49"/>
      <c r="AW414" s="49"/>
      <c r="AX414" s="49"/>
      <c r="AY414" s="49"/>
      <c r="AZ414" s="49"/>
      <c r="BA414" s="49"/>
      <c r="BB414" s="117" t="s">
        <v>4071</v>
      </c>
      <c r="BC414" s="117" t="s">
        <v>4071</v>
      </c>
      <c r="BD414" s="117" t="s">
        <v>4760</v>
      </c>
      <c r="BE414" s="117" t="s">
        <v>4760</v>
      </c>
      <c r="BF414" s="2"/>
      <c r="BG414" s="3"/>
      <c r="BH414" s="3"/>
      <c r="BI414" s="3"/>
      <c r="BJ414" s="3"/>
    </row>
    <row r="415" spans="1:62" ht="15">
      <c r="A415" s="66" t="s">
        <v>602</v>
      </c>
      <c r="B415" s="67"/>
      <c r="C415" s="67"/>
      <c r="D415" s="68">
        <v>50</v>
      </c>
      <c r="E415" s="70"/>
      <c r="F415" s="105" t="str">
        <f>HYPERLINK("https://yt3.ggpht.com/ytc/AIf8zZS9fXBf55nEZN1zQAo_eFkt1o9ls31xFJiz52PDEw=s88-c-k-c0x00ffffff-no-rj")</f>
        <v>https://yt3.ggpht.com/ytc/AIf8zZS9fXBf55nEZN1zQAo_eFkt1o9ls31xFJiz52PDEw=s88-c-k-c0x00ffffff-no-rj</v>
      </c>
      <c r="G415" s="67"/>
      <c r="H415" s="71" t="s">
        <v>2833</v>
      </c>
      <c r="I415" s="72"/>
      <c r="J415" s="72" t="s">
        <v>159</v>
      </c>
      <c r="K415" s="71" t="s">
        <v>2833</v>
      </c>
      <c r="L415" s="75">
        <v>1</v>
      </c>
      <c r="M415" s="76">
        <v>5637.27294921875</v>
      </c>
      <c r="N415" s="76">
        <v>6220.31884765625</v>
      </c>
      <c r="O415" s="77"/>
      <c r="P415" s="78"/>
      <c r="Q415" s="78"/>
      <c r="R415" s="90"/>
      <c r="S415" s="49">
        <v>0</v>
      </c>
      <c r="T415" s="49">
        <v>1</v>
      </c>
      <c r="U415" s="50">
        <v>0</v>
      </c>
      <c r="V415" s="50">
        <v>0.209338</v>
      </c>
      <c r="W415" s="51"/>
      <c r="X415" s="51"/>
      <c r="Y415" s="51"/>
      <c r="Z415" s="50"/>
      <c r="AA415" s="73">
        <v>415</v>
      </c>
      <c r="AB415" s="73"/>
      <c r="AC415" s="74"/>
      <c r="AD415" s="81" t="s">
        <v>2833</v>
      </c>
      <c r="AE415" s="81"/>
      <c r="AF415" s="81"/>
      <c r="AG415" s="81"/>
      <c r="AH415" s="81"/>
      <c r="AI415" s="81" t="s">
        <v>2068</v>
      </c>
      <c r="AJ415" s="88">
        <v>42507.75744212963</v>
      </c>
      <c r="AK415" s="86" t="str">
        <f>HYPERLINK("https://yt3.ggpht.com/ytc/AIf8zZS9fXBf55nEZN1zQAo_eFkt1o9ls31xFJiz52PDEw=s88-c-k-c0x00ffffff-no-rj")</f>
        <v>https://yt3.ggpht.com/ytc/AIf8zZS9fXBf55nEZN1zQAo_eFkt1o9ls31xFJiz52PDEw=s88-c-k-c0x00ffffff-no-rj</v>
      </c>
      <c r="AL415" s="81">
        <v>0</v>
      </c>
      <c r="AM415" s="81">
        <v>0</v>
      </c>
      <c r="AN415" s="81">
        <v>44</v>
      </c>
      <c r="AO415" s="81" t="b">
        <v>0</v>
      </c>
      <c r="AP415" s="81">
        <v>0</v>
      </c>
      <c r="AQ415" s="81"/>
      <c r="AR415" s="81"/>
      <c r="AS415" s="81" t="s">
        <v>3378</v>
      </c>
      <c r="AT415" s="86" t="str">
        <f>HYPERLINK("https://www.youtube.com/channel/UCvZ1drUcQdt6kg_qXr67pFA")</f>
        <v>https://www.youtube.com/channel/UCvZ1drUcQdt6kg_qXr67pFA</v>
      </c>
      <c r="AU415" s="81" t="str">
        <f>REPLACE(INDEX(GroupVertices[Group],MATCH("~"&amp;Vertices[[#This Row],[Vertex]],GroupVertices[Vertex],0)),1,1,"")</f>
        <v>3</v>
      </c>
      <c r="AV415" s="49"/>
      <c r="AW415" s="49"/>
      <c r="AX415" s="49"/>
      <c r="AY415" s="49"/>
      <c r="AZ415" s="49"/>
      <c r="BA415" s="49"/>
      <c r="BB415" s="117" t="s">
        <v>4072</v>
      </c>
      <c r="BC415" s="117" t="s">
        <v>4072</v>
      </c>
      <c r="BD415" s="117" t="s">
        <v>4761</v>
      </c>
      <c r="BE415" s="117" t="s">
        <v>4761</v>
      </c>
      <c r="BF415" s="2"/>
      <c r="BG415" s="3"/>
      <c r="BH415" s="3"/>
      <c r="BI415" s="3"/>
      <c r="BJ415" s="3"/>
    </row>
    <row r="416" spans="1:62" ht="15">
      <c r="A416" s="66" t="s">
        <v>603</v>
      </c>
      <c r="B416" s="67"/>
      <c r="C416" s="67"/>
      <c r="D416" s="68">
        <v>50</v>
      </c>
      <c r="E416" s="70"/>
      <c r="F416" s="105" t="str">
        <f>HYPERLINK("https://yt3.ggpht.com/ytc/AIf8zZSJFPPZPVjbD80kqfBQH9KLqhrrz0o2LFOmLw=s88-c-k-c0x00ffffff-no-rj")</f>
        <v>https://yt3.ggpht.com/ytc/AIf8zZSJFPPZPVjbD80kqfBQH9KLqhrrz0o2LFOmLw=s88-c-k-c0x00ffffff-no-rj</v>
      </c>
      <c r="G416" s="67"/>
      <c r="H416" s="71" t="s">
        <v>2834</v>
      </c>
      <c r="I416" s="72"/>
      <c r="J416" s="72" t="s">
        <v>159</v>
      </c>
      <c r="K416" s="71" t="s">
        <v>2834</v>
      </c>
      <c r="L416" s="75">
        <v>1</v>
      </c>
      <c r="M416" s="76">
        <v>3991.05517578125</v>
      </c>
      <c r="N416" s="76">
        <v>8688.8642578125</v>
      </c>
      <c r="O416" s="77"/>
      <c r="P416" s="78"/>
      <c r="Q416" s="78"/>
      <c r="R416" s="90"/>
      <c r="S416" s="49">
        <v>0</v>
      </c>
      <c r="T416" s="49">
        <v>1</v>
      </c>
      <c r="U416" s="50">
        <v>0</v>
      </c>
      <c r="V416" s="50">
        <v>0.209338</v>
      </c>
      <c r="W416" s="51"/>
      <c r="X416" s="51"/>
      <c r="Y416" s="51"/>
      <c r="Z416" s="50"/>
      <c r="AA416" s="73">
        <v>416</v>
      </c>
      <c r="AB416" s="73"/>
      <c r="AC416" s="74"/>
      <c r="AD416" s="81" t="s">
        <v>2834</v>
      </c>
      <c r="AE416" s="81"/>
      <c r="AF416" s="81"/>
      <c r="AG416" s="81"/>
      <c r="AH416" s="81"/>
      <c r="AI416" s="81" t="s">
        <v>3312</v>
      </c>
      <c r="AJ416" s="88">
        <v>40283.43398148148</v>
      </c>
      <c r="AK416" s="86" t="str">
        <f>HYPERLINK("https://yt3.ggpht.com/ytc/AIf8zZSJFPPZPVjbD80kqfBQH9KLqhrrz0o2LFOmLw=s88-c-k-c0x00ffffff-no-rj")</f>
        <v>https://yt3.ggpht.com/ytc/AIf8zZSJFPPZPVjbD80kqfBQH9KLqhrrz0o2LFOmLw=s88-c-k-c0x00ffffff-no-rj</v>
      </c>
      <c r="AL416" s="81">
        <v>0</v>
      </c>
      <c r="AM416" s="81">
        <v>0</v>
      </c>
      <c r="AN416" s="81">
        <v>1</v>
      </c>
      <c r="AO416" s="81" t="b">
        <v>0</v>
      </c>
      <c r="AP416" s="81">
        <v>0</v>
      </c>
      <c r="AQ416" s="81"/>
      <c r="AR416" s="81"/>
      <c r="AS416" s="81" t="s">
        <v>3378</v>
      </c>
      <c r="AT416" s="86" t="str">
        <f>HYPERLINK("https://www.youtube.com/channel/UC4FNblxzUufuzu50GCGWv1g")</f>
        <v>https://www.youtube.com/channel/UC4FNblxzUufuzu50GCGWv1g</v>
      </c>
      <c r="AU416" s="81" t="str">
        <f>REPLACE(INDEX(GroupVertices[Group],MATCH("~"&amp;Vertices[[#This Row],[Vertex]],GroupVertices[Vertex],0)),1,1,"")</f>
        <v>3</v>
      </c>
      <c r="AV416" s="49"/>
      <c r="AW416" s="49"/>
      <c r="AX416" s="49"/>
      <c r="AY416" s="49"/>
      <c r="AZ416" s="49"/>
      <c r="BA416" s="49"/>
      <c r="BB416" s="117" t="s">
        <v>4073</v>
      </c>
      <c r="BC416" s="117" t="s">
        <v>4073</v>
      </c>
      <c r="BD416" s="117" t="s">
        <v>4762</v>
      </c>
      <c r="BE416" s="117" t="s">
        <v>4762</v>
      </c>
      <c r="BF416" s="2"/>
      <c r="BG416" s="3"/>
      <c r="BH416" s="3"/>
      <c r="BI416" s="3"/>
      <c r="BJ416" s="3"/>
    </row>
    <row r="417" spans="1:62" ht="15">
      <c r="A417" s="66" t="s">
        <v>604</v>
      </c>
      <c r="B417" s="67"/>
      <c r="C417" s="67"/>
      <c r="D417" s="68">
        <v>50</v>
      </c>
      <c r="E417" s="70"/>
      <c r="F417" s="105" t="str">
        <f>HYPERLINK("https://yt3.ggpht.com/ytc/AIf8zZRUVBrw6ZY_iyhIcgQg4Qa89ApLMBAw51Sm2XCB5w=s88-c-k-c0x00ffffff-no-rj")</f>
        <v>https://yt3.ggpht.com/ytc/AIf8zZRUVBrw6ZY_iyhIcgQg4Qa89ApLMBAw51Sm2XCB5w=s88-c-k-c0x00ffffff-no-rj</v>
      </c>
      <c r="G417" s="67"/>
      <c r="H417" s="71" t="s">
        <v>2835</v>
      </c>
      <c r="I417" s="72"/>
      <c r="J417" s="72" t="s">
        <v>159</v>
      </c>
      <c r="K417" s="71" t="s">
        <v>2835</v>
      </c>
      <c r="L417" s="75">
        <v>1</v>
      </c>
      <c r="M417" s="76">
        <v>5458.76953125</v>
      </c>
      <c r="N417" s="76">
        <v>7238.03173828125</v>
      </c>
      <c r="O417" s="77"/>
      <c r="P417" s="78"/>
      <c r="Q417" s="78"/>
      <c r="R417" s="90"/>
      <c r="S417" s="49">
        <v>0</v>
      </c>
      <c r="T417" s="49">
        <v>1</v>
      </c>
      <c r="U417" s="50">
        <v>0</v>
      </c>
      <c r="V417" s="50">
        <v>0.209338</v>
      </c>
      <c r="W417" s="51"/>
      <c r="X417" s="51"/>
      <c r="Y417" s="51"/>
      <c r="Z417" s="50"/>
      <c r="AA417" s="73">
        <v>417</v>
      </c>
      <c r="AB417" s="73"/>
      <c r="AC417" s="74"/>
      <c r="AD417" s="81" t="s">
        <v>2835</v>
      </c>
      <c r="AE417" s="81" t="s">
        <v>3184</v>
      </c>
      <c r="AF417" s="81"/>
      <c r="AG417" s="81"/>
      <c r="AH417" s="81"/>
      <c r="AI417" s="81" t="s">
        <v>2070</v>
      </c>
      <c r="AJ417" s="88">
        <v>41568.159050925926</v>
      </c>
      <c r="AK417" s="86" t="str">
        <f>HYPERLINK("https://yt3.ggpht.com/ytc/AIf8zZRUVBrw6ZY_iyhIcgQg4Qa89ApLMBAw51Sm2XCB5w=s88-c-k-c0x00ffffff-no-rj")</f>
        <v>https://yt3.ggpht.com/ytc/AIf8zZRUVBrw6ZY_iyhIcgQg4Qa89ApLMBAw51Sm2XCB5w=s88-c-k-c0x00ffffff-no-rj</v>
      </c>
      <c r="AL417" s="81">
        <v>3508</v>
      </c>
      <c r="AM417" s="81">
        <v>0</v>
      </c>
      <c r="AN417" s="81">
        <v>34</v>
      </c>
      <c r="AO417" s="81" t="b">
        <v>0</v>
      </c>
      <c r="AP417" s="81">
        <v>20</v>
      </c>
      <c r="AQ417" s="81"/>
      <c r="AR417" s="81"/>
      <c r="AS417" s="81" t="s">
        <v>3378</v>
      </c>
      <c r="AT417" s="86" t="str">
        <f>HYPERLINK("https://www.youtube.com/channel/UCqYhSzZYvi361NoLFB-E-AQ")</f>
        <v>https://www.youtube.com/channel/UCqYhSzZYvi361NoLFB-E-AQ</v>
      </c>
      <c r="AU417" s="81" t="str">
        <f>REPLACE(INDEX(GroupVertices[Group],MATCH("~"&amp;Vertices[[#This Row],[Vertex]],GroupVertices[Vertex],0)),1,1,"")</f>
        <v>3</v>
      </c>
      <c r="AV417" s="49"/>
      <c r="AW417" s="49"/>
      <c r="AX417" s="49"/>
      <c r="AY417" s="49"/>
      <c r="AZ417" s="49"/>
      <c r="BA417" s="49"/>
      <c r="BB417" s="117" t="s">
        <v>4074</v>
      </c>
      <c r="BC417" s="117" t="s">
        <v>4074</v>
      </c>
      <c r="BD417" s="117" t="s">
        <v>4763</v>
      </c>
      <c r="BE417" s="117" t="s">
        <v>4763</v>
      </c>
      <c r="BF417" s="2"/>
      <c r="BG417" s="3"/>
      <c r="BH417" s="3"/>
      <c r="BI417" s="3"/>
      <c r="BJ417" s="3"/>
    </row>
    <row r="418" spans="1:62" ht="15">
      <c r="A418" s="66" t="s">
        <v>606</v>
      </c>
      <c r="B418" s="67"/>
      <c r="C418" s="67"/>
      <c r="D418" s="68">
        <v>50</v>
      </c>
      <c r="E418" s="70"/>
      <c r="F418" s="105" t="str">
        <f>HYPERLINK("https://yt3.ggpht.com/ytc/AIf8zZT7R-5SDoOjcBgXEUUuO3JcQLhbjeMrMamrpg=s88-c-k-c0x00ffffff-no-rj")</f>
        <v>https://yt3.ggpht.com/ytc/AIf8zZT7R-5SDoOjcBgXEUUuO3JcQLhbjeMrMamrpg=s88-c-k-c0x00ffffff-no-rj</v>
      </c>
      <c r="G418" s="67"/>
      <c r="H418" s="71" t="s">
        <v>2837</v>
      </c>
      <c r="I418" s="72"/>
      <c r="J418" s="72" t="s">
        <v>159</v>
      </c>
      <c r="K418" s="71" t="s">
        <v>2837</v>
      </c>
      <c r="L418" s="75">
        <v>1</v>
      </c>
      <c r="M418" s="76">
        <v>4101.48779296875</v>
      </c>
      <c r="N418" s="76">
        <v>8975.7587890625</v>
      </c>
      <c r="O418" s="77"/>
      <c r="P418" s="78"/>
      <c r="Q418" s="78"/>
      <c r="R418" s="90"/>
      <c r="S418" s="49">
        <v>0</v>
      </c>
      <c r="T418" s="49">
        <v>1</v>
      </c>
      <c r="U418" s="50">
        <v>0</v>
      </c>
      <c r="V418" s="50">
        <v>0.209338</v>
      </c>
      <c r="W418" s="51"/>
      <c r="X418" s="51"/>
      <c r="Y418" s="51"/>
      <c r="Z418" s="50"/>
      <c r="AA418" s="73">
        <v>418</v>
      </c>
      <c r="AB418" s="73"/>
      <c r="AC418" s="74"/>
      <c r="AD418" s="81" t="s">
        <v>2837</v>
      </c>
      <c r="AE418" s="81"/>
      <c r="AF418" s="81"/>
      <c r="AG418" s="81"/>
      <c r="AH418" s="81"/>
      <c r="AI418" s="81" t="s">
        <v>2072</v>
      </c>
      <c r="AJ418" s="88">
        <v>40878.94449074074</v>
      </c>
      <c r="AK418" s="86" t="str">
        <f>HYPERLINK("https://yt3.ggpht.com/ytc/AIf8zZT7R-5SDoOjcBgXEUUuO3JcQLhbjeMrMamrpg=s88-c-k-c0x00ffffff-no-rj")</f>
        <v>https://yt3.ggpht.com/ytc/AIf8zZT7R-5SDoOjcBgXEUUuO3JcQLhbjeMrMamrpg=s88-c-k-c0x00ffffff-no-rj</v>
      </c>
      <c r="AL418" s="81">
        <v>0</v>
      </c>
      <c r="AM418" s="81">
        <v>0</v>
      </c>
      <c r="AN418" s="81">
        <v>0</v>
      </c>
      <c r="AO418" s="81" t="b">
        <v>0</v>
      </c>
      <c r="AP418" s="81">
        <v>0</v>
      </c>
      <c r="AQ418" s="81"/>
      <c r="AR418" s="81"/>
      <c r="AS418" s="81" t="s">
        <v>3378</v>
      </c>
      <c r="AT418" s="86" t="str">
        <f>HYPERLINK("https://www.youtube.com/channel/UCmj-FpayGC6QdSQBtA5Kxiw")</f>
        <v>https://www.youtube.com/channel/UCmj-FpayGC6QdSQBtA5Kxiw</v>
      </c>
      <c r="AU418" s="81" t="str">
        <f>REPLACE(INDEX(GroupVertices[Group],MATCH("~"&amp;Vertices[[#This Row],[Vertex]],GroupVertices[Vertex],0)),1,1,"")</f>
        <v>3</v>
      </c>
      <c r="AV418" s="49"/>
      <c r="AW418" s="49"/>
      <c r="AX418" s="49"/>
      <c r="AY418" s="49"/>
      <c r="AZ418" s="49"/>
      <c r="BA418" s="49"/>
      <c r="BB418" s="117" t="s">
        <v>4076</v>
      </c>
      <c r="BC418" s="117" t="s">
        <v>4076</v>
      </c>
      <c r="BD418" s="117" t="s">
        <v>4765</v>
      </c>
      <c r="BE418" s="117" t="s">
        <v>4765</v>
      </c>
      <c r="BF418" s="2"/>
      <c r="BG418" s="3"/>
      <c r="BH418" s="3"/>
      <c r="BI418" s="3"/>
      <c r="BJ418" s="3"/>
    </row>
    <row r="419" spans="1:62" ht="15">
      <c r="A419" s="66" t="s">
        <v>607</v>
      </c>
      <c r="B419" s="67"/>
      <c r="C419" s="67"/>
      <c r="D419" s="68">
        <v>50</v>
      </c>
      <c r="E419" s="70"/>
      <c r="F419" s="105" t="str">
        <f>HYPERLINK("https://yt3.ggpht.com/ytc/AIf8zZQUdwbgQLMoB_swaUQiUsmJBS0C1Vi7Lbg3pHGPrQ=s88-c-k-c0x00ffffff-no-rj")</f>
        <v>https://yt3.ggpht.com/ytc/AIf8zZQUdwbgQLMoB_swaUQiUsmJBS0C1Vi7Lbg3pHGPrQ=s88-c-k-c0x00ffffff-no-rj</v>
      </c>
      <c r="G419" s="67"/>
      <c r="H419" s="71" t="s">
        <v>2838</v>
      </c>
      <c r="I419" s="72"/>
      <c r="J419" s="72" t="s">
        <v>159</v>
      </c>
      <c r="K419" s="71" t="s">
        <v>2838</v>
      </c>
      <c r="L419" s="75">
        <v>1</v>
      </c>
      <c r="M419" s="76">
        <v>5394.70458984375</v>
      </c>
      <c r="N419" s="76">
        <v>6637.8701171875</v>
      </c>
      <c r="O419" s="77"/>
      <c r="P419" s="78"/>
      <c r="Q419" s="78"/>
      <c r="R419" s="90"/>
      <c r="S419" s="49">
        <v>0</v>
      </c>
      <c r="T419" s="49">
        <v>1</v>
      </c>
      <c r="U419" s="50">
        <v>0</v>
      </c>
      <c r="V419" s="50">
        <v>0.209338</v>
      </c>
      <c r="W419" s="51"/>
      <c r="X419" s="51"/>
      <c r="Y419" s="51"/>
      <c r="Z419" s="50"/>
      <c r="AA419" s="73">
        <v>419</v>
      </c>
      <c r="AB419" s="73"/>
      <c r="AC419" s="74"/>
      <c r="AD419" s="81" t="s">
        <v>2838</v>
      </c>
      <c r="AE419" s="81"/>
      <c r="AF419" s="81"/>
      <c r="AG419" s="81"/>
      <c r="AH419" s="81"/>
      <c r="AI419" s="81" t="s">
        <v>2073</v>
      </c>
      <c r="AJ419" s="88">
        <v>41979.68505787037</v>
      </c>
      <c r="AK419" s="86" t="str">
        <f>HYPERLINK("https://yt3.ggpht.com/ytc/AIf8zZQUdwbgQLMoB_swaUQiUsmJBS0C1Vi7Lbg3pHGPrQ=s88-c-k-c0x00ffffff-no-rj")</f>
        <v>https://yt3.ggpht.com/ytc/AIf8zZQUdwbgQLMoB_swaUQiUsmJBS0C1Vi7Lbg3pHGPrQ=s88-c-k-c0x00ffffff-no-rj</v>
      </c>
      <c r="AL419" s="81">
        <v>8927</v>
      </c>
      <c r="AM419" s="81">
        <v>0</v>
      </c>
      <c r="AN419" s="81">
        <v>18</v>
      </c>
      <c r="AO419" s="81" t="b">
        <v>0</v>
      </c>
      <c r="AP419" s="81">
        <v>168</v>
      </c>
      <c r="AQ419" s="81"/>
      <c r="AR419" s="81"/>
      <c r="AS419" s="81" t="s">
        <v>3378</v>
      </c>
      <c r="AT419" s="86" t="str">
        <f>HYPERLINK("https://www.youtube.com/channel/UC8pzbnzgdk4HN-BQ6PCMGRw")</f>
        <v>https://www.youtube.com/channel/UC8pzbnzgdk4HN-BQ6PCMGRw</v>
      </c>
      <c r="AU419" s="81" t="str">
        <f>REPLACE(INDEX(GroupVertices[Group],MATCH("~"&amp;Vertices[[#This Row],[Vertex]],GroupVertices[Vertex],0)),1,1,"")</f>
        <v>3</v>
      </c>
      <c r="AV419" s="49"/>
      <c r="AW419" s="49"/>
      <c r="AX419" s="49"/>
      <c r="AY419" s="49"/>
      <c r="AZ419" s="49"/>
      <c r="BA419" s="49"/>
      <c r="BB419" s="117" t="s">
        <v>4077</v>
      </c>
      <c r="BC419" s="117" t="s">
        <v>4077</v>
      </c>
      <c r="BD419" s="117" t="s">
        <v>4766</v>
      </c>
      <c r="BE419" s="117" t="s">
        <v>4766</v>
      </c>
      <c r="BF419" s="2"/>
      <c r="BG419" s="3"/>
      <c r="BH419" s="3"/>
      <c r="BI419" s="3"/>
      <c r="BJ419" s="3"/>
    </row>
    <row r="420" spans="1:62" ht="15">
      <c r="A420" s="66" t="s">
        <v>608</v>
      </c>
      <c r="B420" s="67"/>
      <c r="C420" s="67"/>
      <c r="D420" s="68">
        <v>50</v>
      </c>
      <c r="E420" s="70"/>
      <c r="F420" s="105" t="str">
        <f>HYPERLINK("https://yt3.ggpht.com/ytc/AIf8zZThK34q7LV6Ktk6RQtvD3juoj1cDiGalpL9pQ=s88-c-k-c0x00ffffff-no-rj")</f>
        <v>https://yt3.ggpht.com/ytc/AIf8zZThK34q7LV6Ktk6RQtvD3juoj1cDiGalpL9pQ=s88-c-k-c0x00ffffff-no-rj</v>
      </c>
      <c r="G420" s="67"/>
      <c r="H420" s="71" t="s">
        <v>2839</v>
      </c>
      <c r="I420" s="72"/>
      <c r="J420" s="72" t="s">
        <v>159</v>
      </c>
      <c r="K420" s="71" t="s">
        <v>2839</v>
      </c>
      <c r="L420" s="75">
        <v>1</v>
      </c>
      <c r="M420" s="76">
        <v>4118.7724609375</v>
      </c>
      <c r="N420" s="76">
        <v>7985.27685546875</v>
      </c>
      <c r="O420" s="77"/>
      <c r="P420" s="78"/>
      <c r="Q420" s="78"/>
      <c r="R420" s="90"/>
      <c r="S420" s="49">
        <v>0</v>
      </c>
      <c r="T420" s="49">
        <v>1</v>
      </c>
      <c r="U420" s="50">
        <v>0</v>
      </c>
      <c r="V420" s="50">
        <v>0.209338</v>
      </c>
      <c r="W420" s="51"/>
      <c r="X420" s="51"/>
      <c r="Y420" s="51"/>
      <c r="Z420" s="50"/>
      <c r="AA420" s="73">
        <v>420</v>
      </c>
      <c r="AB420" s="73"/>
      <c r="AC420" s="74"/>
      <c r="AD420" s="81" t="s">
        <v>2839</v>
      </c>
      <c r="AE420" s="81"/>
      <c r="AF420" s="81"/>
      <c r="AG420" s="81"/>
      <c r="AH420" s="81"/>
      <c r="AI420" s="81" t="s">
        <v>2074</v>
      </c>
      <c r="AJ420" s="88">
        <v>40337.68969907407</v>
      </c>
      <c r="AK420" s="86" t="str">
        <f>HYPERLINK("https://yt3.ggpht.com/ytc/AIf8zZThK34q7LV6Ktk6RQtvD3juoj1cDiGalpL9pQ=s88-c-k-c0x00ffffff-no-rj")</f>
        <v>https://yt3.ggpht.com/ytc/AIf8zZThK34q7LV6Ktk6RQtvD3juoj1cDiGalpL9pQ=s88-c-k-c0x00ffffff-no-rj</v>
      </c>
      <c r="AL420" s="81">
        <v>0</v>
      </c>
      <c r="AM420" s="81">
        <v>0</v>
      </c>
      <c r="AN420" s="81">
        <v>8</v>
      </c>
      <c r="AO420" s="81" t="b">
        <v>0</v>
      </c>
      <c r="AP420" s="81">
        <v>0</v>
      </c>
      <c r="AQ420" s="81"/>
      <c r="AR420" s="81"/>
      <c r="AS420" s="81" t="s">
        <v>3378</v>
      </c>
      <c r="AT420" s="86" t="str">
        <f>HYPERLINK("https://www.youtube.com/channel/UC1a_HNbxubi-dDhkgErqtpA")</f>
        <v>https://www.youtube.com/channel/UC1a_HNbxubi-dDhkgErqtpA</v>
      </c>
      <c r="AU420" s="81" t="str">
        <f>REPLACE(INDEX(GroupVertices[Group],MATCH("~"&amp;Vertices[[#This Row],[Vertex]],GroupVertices[Vertex],0)),1,1,"")</f>
        <v>3</v>
      </c>
      <c r="AV420" s="49"/>
      <c r="AW420" s="49"/>
      <c r="AX420" s="49"/>
      <c r="AY420" s="49"/>
      <c r="AZ420" s="49"/>
      <c r="BA420" s="49"/>
      <c r="BB420" s="117" t="s">
        <v>4078</v>
      </c>
      <c r="BC420" s="117" t="s">
        <v>4078</v>
      </c>
      <c r="BD420" s="117" t="s">
        <v>4767</v>
      </c>
      <c r="BE420" s="117" t="s">
        <v>4767</v>
      </c>
      <c r="BF420" s="2"/>
      <c r="BG420" s="3"/>
      <c r="BH420" s="3"/>
      <c r="BI420" s="3"/>
      <c r="BJ420" s="3"/>
    </row>
    <row r="421" spans="1:62" ht="15">
      <c r="A421" s="66" t="s">
        <v>609</v>
      </c>
      <c r="B421" s="67"/>
      <c r="C421" s="67"/>
      <c r="D421" s="68">
        <v>50</v>
      </c>
      <c r="E421" s="70"/>
      <c r="F421" s="105" t="str">
        <f>HYPERLINK("https://yt3.ggpht.com/ytc/AIf8zZRM8p70z8fgBfKVvLhtTCTFBzI_jm8Hz9qThkkIDw=s88-c-k-c0x00ffffff-no-rj")</f>
        <v>https://yt3.ggpht.com/ytc/AIf8zZRM8p70z8fgBfKVvLhtTCTFBzI_jm8Hz9qThkkIDw=s88-c-k-c0x00ffffff-no-rj</v>
      </c>
      <c r="G421" s="67"/>
      <c r="H421" s="71" t="s">
        <v>2840</v>
      </c>
      <c r="I421" s="72"/>
      <c r="J421" s="72" t="s">
        <v>159</v>
      </c>
      <c r="K421" s="71" t="s">
        <v>2840</v>
      </c>
      <c r="L421" s="75">
        <v>1</v>
      </c>
      <c r="M421" s="76">
        <v>4258.671875</v>
      </c>
      <c r="N421" s="76">
        <v>9188.9736328125</v>
      </c>
      <c r="O421" s="77"/>
      <c r="P421" s="78"/>
      <c r="Q421" s="78"/>
      <c r="R421" s="90"/>
      <c r="S421" s="49">
        <v>0</v>
      </c>
      <c r="T421" s="49">
        <v>1</v>
      </c>
      <c r="U421" s="50">
        <v>0</v>
      </c>
      <c r="V421" s="50">
        <v>0.209338</v>
      </c>
      <c r="W421" s="51"/>
      <c r="X421" s="51"/>
      <c r="Y421" s="51"/>
      <c r="Z421" s="50"/>
      <c r="AA421" s="73">
        <v>421</v>
      </c>
      <c r="AB421" s="73"/>
      <c r="AC421" s="74"/>
      <c r="AD421" s="81" t="s">
        <v>2840</v>
      </c>
      <c r="AE421" s="81"/>
      <c r="AF421" s="81"/>
      <c r="AG421" s="81"/>
      <c r="AH421" s="81"/>
      <c r="AI421" s="81" t="s">
        <v>2075</v>
      </c>
      <c r="AJ421" s="88">
        <v>41528.30641203704</v>
      </c>
      <c r="AK421" s="86" t="str">
        <f>HYPERLINK("https://yt3.ggpht.com/ytc/AIf8zZRM8p70z8fgBfKVvLhtTCTFBzI_jm8Hz9qThkkIDw=s88-c-k-c0x00ffffff-no-rj")</f>
        <v>https://yt3.ggpht.com/ytc/AIf8zZRM8p70z8fgBfKVvLhtTCTFBzI_jm8Hz9qThkkIDw=s88-c-k-c0x00ffffff-no-rj</v>
      </c>
      <c r="AL421" s="81">
        <v>1080461</v>
      </c>
      <c r="AM421" s="81">
        <v>0</v>
      </c>
      <c r="AN421" s="81">
        <v>360</v>
      </c>
      <c r="AO421" s="81" t="b">
        <v>0</v>
      </c>
      <c r="AP421" s="81">
        <v>32</v>
      </c>
      <c r="AQ421" s="81"/>
      <c r="AR421" s="81"/>
      <c r="AS421" s="81" t="s">
        <v>3378</v>
      </c>
      <c r="AT421" s="86" t="str">
        <f>HYPERLINK("https://www.youtube.com/channel/UC4ZbSETqXsmVlESWrCnyLag")</f>
        <v>https://www.youtube.com/channel/UC4ZbSETqXsmVlESWrCnyLag</v>
      </c>
      <c r="AU421" s="81" t="str">
        <f>REPLACE(INDEX(GroupVertices[Group],MATCH("~"&amp;Vertices[[#This Row],[Vertex]],GroupVertices[Vertex],0)),1,1,"")</f>
        <v>3</v>
      </c>
      <c r="AV421" s="49"/>
      <c r="AW421" s="49"/>
      <c r="AX421" s="49"/>
      <c r="AY421" s="49"/>
      <c r="AZ421" s="49"/>
      <c r="BA421" s="49"/>
      <c r="BB421" s="117" t="s">
        <v>4079</v>
      </c>
      <c r="BC421" s="117" t="s">
        <v>4079</v>
      </c>
      <c r="BD421" s="117" t="s">
        <v>4768</v>
      </c>
      <c r="BE421" s="117" t="s">
        <v>4768</v>
      </c>
      <c r="BF421" s="2"/>
      <c r="BG421" s="3"/>
      <c r="BH421" s="3"/>
      <c r="BI421" s="3"/>
      <c r="BJ421" s="3"/>
    </row>
    <row r="422" spans="1:62" ht="15">
      <c r="A422" s="66" t="s">
        <v>610</v>
      </c>
      <c r="B422" s="67"/>
      <c r="C422" s="67"/>
      <c r="D422" s="68">
        <v>50</v>
      </c>
      <c r="E422" s="70"/>
      <c r="F422" s="105" t="str">
        <f>HYPERLINK("https://yt3.ggpht.com/ytc/AIf8zZTGdA5zoPLZHtEWUypK8szwwfF7BJW0WschOQ=s88-c-k-c0x00ffffff-no-rj")</f>
        <v>https://yt3.ggpht.com/ytc/AIf8zZTGdA5zoPLZHtEWUypK8szwwfF7BJW0WschOQ=s88-c-k-c0x00ffffff-no-rj</v>
      </c>
      <c r="G422" s="67"/>
      <c r="H422" s="71" t="s">
        <v>2841</v>
      </c>
      <c r="I422" s="72"/>
      <c r="J422" s="72" t="s">
        <v>159</v>
      </c>
      <c r="K422" s="71" t="s">
        <v>2841</v>
      </c>
      <c r="L422" s="75">
        <v>1</v>
      </c>
      <c r="M422" s="76">
        <v>5422.4560546875</v>
      </c>
      <c r="N422" s="76">
        <v>9835.6083984375</v>
      </c>
      <c r="O422" s="77"/>
      <c r="P422" s="78"/>
      <c r="Q422" s="78"/>
      <c r="R422" s="90"/>
      <c r="S422" s="49">
        <v>0</v>
      </c>
      <c r="T422" s="49">
        <v>1</v>
      </c>
      <c r="U422" s="50">
        <v>0</v>
      </c>
      <c r="V422" s="50">
        <v>0.209338</v>
      </c>
      <c r="W422" s="51"/>
      <c r="X422" s="51"/>
      <c r="Y422" s="51"/>
      <c r="Z422" s="50"/>
      <c r="AA422" s="73">
        <v>422</v>
      </c>
      <c r="AB422" s="73"/>
      <c r="AC422" s="74"/>
      <c r="AD422" s="81" t="s">
        <v>2841</v>
      </c>
      <c r="AE422" s="81"/>
      <c r="AF422" s="81"/>
      <c r="AG422" s="81"/>
      <c r="AH422" s="81"/>
      <c r="AI422" s="81" t="s">
        <v>2076</v>
      </c>
      <c r="AJ422" s="88">
        <v>43023.53204861111</v>
      </c>
      <c r="AK422" s="86" t="str">
        <f>HYPERLINK("https://yt3.ggpht.com/ytc/AIf8zZTGdA5zoPLZHtEWUypK8szwwfF7BJW0WschOQ=s88-c-k-c0x00ffffff-no-rj")</f>
        <v>https://yt3.ggpht.com/ytc/AIf8zZTGdA5zoPLZHtEWUypK8szwwfF7BJW0WschOQ=s88-c-k-c0x00ffffff-no-rj</v>
      </c>
      <c r="AL422" s="81">
        <v>2756</v>
      </c>
      <c r="AM422" s="81">
        <v>0</v>
      </c>
      <c r="AN422" s="81">
        <v>4</v>
      </c>
      <c r="AO422" s="81" t="b">
        <v>0</v>
      </c>
      <c r="AP422" s="81">
        <v>4</v>
      </c>
      <c r="AQ422" s="81"/>
      <c r="AR422" s="81"/>
      <c r="AS422" s="81" t="s">
        <v>3378</v>
      </c>
      <c r="AT422" s="86" t="str">
        <f>HYPERLINK("https://www.youtube.com/channel/UC-98kmyOb7Vv4cT76INUHMg")</f>
        <v>https://www.youtube.com/channel/UC-98kmyOb7Vv4cT76INUHMg</v>
      </c>
      <c r="AU422" s="81" t="str">
        <f>REPLACE(INDEX(GroupVertices[Group],MATCH("~"&amp;Vertices[[#This Row],[Vertex]],GroupVertices[Vertex],0)),1,1,"")</f>
        <v>3</v>
      </c>
      <c r="AV422" s="49"/>
      <c r="AW422" s="49"/>
      <c r="AX422" s="49"/>
      <c r="AY422" s="49"/>
      <c r="AZ422" s="49"/>
      <c r="BA422" s="49"/>
      <c r="BB422" s="117" t="s">
        <v>4080</v>
      </c>
      <c r="BC422" s="117" t="s">
        <v>4080</v>
      </c>
      <c r="BD422" s="117" t="s">
        <v>4769</v>
      </c>
      <c r="BE422" s="117" t="s">
        <v>4769</v>
      </c>
      <c r="BF422" s="2"/>
      <c r="BG422" s="3"/>
      <c r="BH422" s="3"/>
      <c r="BI422" s="3"/>
      <c r="BJ422" s="3"/>
    </row>
    <row r="423" spans="1:62" ht="15">
      <c r="A423" s="66" t="s">
        <v>611</v>
      </c>
      <c r="B423" s="67"/>
      <c r="C423" s="67"/>
      <c r="D423" s="68">
        <v>50</v>
      </c>
      <c r="E423" s="70"/>
      <c r="F423" s="105" t="str">
        <f>HYPERLINK("https://yt3.ggpht.com/ytc/AIf8zZSmOAxVcWK-scI6aKnrIzIbYuNaylEGmaG99g=s88-c-k-c0x00ffffff-no-rj")</f>
        <v>https://yt3.ggpht.com/ytc/AIf8zZSmOAxVcWK-scI6aKnrIzIbYuNaylEGmaG99g=s88-c-k-c0x00ffffff-no-rj</v>
      </c>
      <c r="G423" s="67"/>
      <c r="H423" s="71" t="s">
        <v>2842</v>
      </c>
      <c r="I423" s="72"/>
      <c r="J423" s="72" t="s">
        <v>159</v>
      </c>
      <c r="K423" s="71" t="s">
        <v>2842</v>
      </c>
      <c r="L423" s="75">
        <v>1</v>
      </c>
      <c r="M423" s="76">
        <v>6320.09765625</v>
      </c>
      <c r="N423" s="76">
        <v>7489.46630859375</v>
      </c>
      <c r="O423" s="77"/>
      <c r="P423" s="78"/>
      <c r="Q423" s="78"/>
      <c r="R423" s="90"/>
      <c r="S423" s="49">
        <v>0</v>
      </c>
      <c r="T423" s="49">
        <v>1</v>
      </c>
      <c r="U423" s="50">
        <v>0</v>
      </c>
      <c r="V423" s="50">
        <v>0.209338</v>
      </c>
      <c r="W423" s="51"/>
      <c r="X423" s="51"/>
      <c r="Y423" s="51"/>
      <c r="Z423" s="50"/>
      <c r="AA423" s="73">
        <v>423</v>
      </c>
      <c r="AB423" s="73"/>
      <c r="AC423" s="74"/>
      <c r="AD423" s="81" t="s">
        <v>2842</v>
      </c>
      <c r="AE423" s="81"/>
      <c r="AF423" s="81"/>
      <c r="AG423" s="81"/>
      <c r="AH423" s="81"/>
      <c r="AI423" s="81" t="s">
        <v>2077</v>
      </c>
      <c r="AJ423" s="88">
        <v>40995.24931712963</v>
      </c>
      <c r="AK423" s="86" t="str">
        <f>HYPERLINK("https://yt3.ggpht.com/ytc/AIf8zZSmOAxVcWK-scI6aKnrIzIbYuNaylEGmaG99g=s88-c-k-c0x00ffffff-no-rj")</f>
        <v>https://yt3.ggpht.com/ytc/AIf8zZSmOAxVcWK-scI6aKnrIzIbYuNaylEGmaG99g=s88-c-k-c0x00ffffff-no-rj</v>
      </c>
      <c r="AL423" s="81">
        <v>0</v>
      </c>
      <c r="AM423" s="81">
        <v>0</v>
      </c>
      <c r="AN423" s="81">
        <v>0</v>
      </c>
      <c r="AO423" s="81" t="b">
        <v>0</v>
      </c>
      <c r="AP423" s="81">
        <v>0</v>
      </c>
      <c r="AQ423" s="81"/>
      <c r="AR423" s="81"/>
      <c r="AS423" s="81" t="s">
        <v>3378</v>
      </c>
      <c r="AT423" s="86" t="str">
        <f>HYPERLINK("https://www.youtube.com/channel/UCOkk103ccRsLaOrhUu14JZA")</f>
        <v>https://www.youtube.com/channel/UCOkk103ccRsLaOrhUu14JZA</v>
      </c>
      <c r="AU423" s="81" t="str">
        <f>REPLACE(INDEX(GroupVertices[Group],MATCH("~"&amp;Vertices[[#This Row],[Vertex]],GroupVertices[Vertex],0)),1,1,"")</f>
        <v>3</v>
      </c>
      <c r="AV423" s="49"/>
      <c r="AW423" s="49"/>
      <c r="AX423" s="49"/>
      <c r="AY423" s="49"/>
      <c r="AZ423" s="49"/>
      <c r="BA423" s="49"/>
      <c r="BB423" s="117" t="s">
        <v>4081</v>
      </c>
      <c r="BC423" s="117" t="s">
        <v>4081</v>
      </c>
      <c r="BD423" s="117" t="s">
        <v>4770</v>
      </c>
      <c r="BE423" s="117" t="s">
        <v>4770</v>
      </c>
      <c r="BF423" s="2"/>
      <c r="BG423" s="3"/>
      <c r="BH423" s="3"/>
      <c r="BI423" s="3"/>
      <c r="BJ423" s="3"/>
    </row>
    <row r="424" spans="1:62" ht="15">
      <c r="A424" s="66" t="s">
        <v>612</v>
      </c>
      <c r="B424" s="67"/>
      <c r="C424" s="67"/>
      <c r="D424" s="68">
        <v>50</v>
      </c>
      <c r="E424" s="70"/>
      <c r="F424" s="105" t="str">
        <f>HYPERLINK("https://yt3.ggpht.com/ytc/AIf8zZSzljAIIfr8l9b3Pios4Ad25d6jq6Co4ytT9DRP=s88-c-k-c0x00ffffff-no-rj")</f>
        <v>https://yt3.ggpht.com/ytc/AIf8zZSzljAIIfr8l9b3Pios4Ad25d6jq6Co4ytT9DRP=s88-c-k-c0x00ffffff-no-rj</v>
      </c>
      <c r="G424" s="67"/>
      <c r="H424" s="71" t="s">
        <v>2843</v>
      </c>
      <c r="I424" s="72"/>
      <c r="J424" s="72" t="s">
        <v>159</v>
      </c>
      <c r="K424" s="71" t="s">
        <v>2843</v>
      </c>
      <c r="L424" s="75">
        <v>1</v>
      </c>
      <c r="M424" s="76">
        <v>5132.1357421875</v>
      </c>
      <c r="N424" s="76">
        <v>5798.0712890625</v>
      </c>
      <c r="O424" s="77"/>
      <c r="P424" s="78"/>
      <c r="Q424" s="78"/>
      <c r="R424" s="90"/>
      <c r="S424" s="49">
        <v>0</v>
      </c>
      <c r="T424" s="49">
        <v>1</v>
      </c>
      <c r="U424" s="50">
        <v>0</v>
      </c>
      <c r="V424" s="50">
        <v>0.209338</v>
      </c>
      <c r="W424" s="51"/>
      <c r="X424" s="51"/>
      <c r="Y424" s="51"/>
      <c r="Z424" s="50"/>
      <c r="AA424" s="73">
        <v>424</v>
      </c>
      <c r="AB424" s="73"/>
      <c r="AC424" s="74"/>
      <c r="AD424" s="81" t="s">
        <v>2843</v>
      </c>
      <c r="AE424" s="81"/>
      <c r="AF424" s="81"/>
      <c r="AG424" s="81"/>
      <c r="AH424" s="81"/>
      <c r="AI424" s="81" t="s">
        <v>2078</v>
      </c>
      <c r="AJ424" s="88">
        <v>42922.13224537037</v>
      </c>
      <c r="AK424" s="86" t="str">
        <f>HYPERLINK("https://yt3.ggpht.com/ytc/AIf8zZSzljAIIfr8l9b3Pios4Ad25d6jq6Co4ytT9DRP=s88-c-k-c0x00ffffff-no-rj")</f>
        <v>https://yt3.ggpht.com/ytc/AIf8zZSzljAIIfr8l9b3Pios4Ad25d6jq6Co4ytT9DRP=s88-c-k-c0x00ffffff-no-rj</v>
      </c>
      <c r="AL424" s="81">
        <v>15</v>
      </c>
      <c r="AM424" s="81">
        <v>0</v>
      </c>
      <c r="AN424" s="81">
        <v>1</v>
      </c>
      <c r="AO424" s="81" t="b">
        <v>0</v>
      </c>
      <c r="AP424" s="81">
        <v>1</v>
      </c>
      <c r="AQ424" s="81"/>
      <c r="AR424" s="81"/>
      <c r="AS424" s="81" t="s">
        <v>3378</v>
      </c>
      <c r="AT424" s="86" t="str">
        <f>HYPERLINK("https://www.youtube.com/channel/UCm2UQKqEmJK5hl-OKH2sm6g")</f>
        <v>https://www.youtube.com/channel/UCm2UQKqEmJK5hl-OKH2sm6g</v>
      </c>
      <c r="AU424" s="81" t="str">
        <f>REPLACE(INDEX(GroupVertices[Group],MATCH("~"&amp;Vertices[[#This Row],[Vertex]],GroupVertices[Vertex],0)),1,1,"")</f>
        <v>3</v>
      </c>
      <c r="AV424" s="49"/>
      <c r="AW424" s="49"/>
      <c r="AX424" s="49"/>
      <c r="AY424" s="49"/>
      <c r="AZ424" s="49"/>
      <c r="BA424" s="49"/>
      <c r="BB424" s="117" t="s">
        <v>4082</v>
      </c>
      <c r="BC424" s="117" t="s">
        <v>4082</v>
      </c>
      <c r="BD424" s="117" t="s">
        <v>4771</v>
      </c>
      <c r="BE424" s="117" t="s">
        <v>4771</v>
      </c>
      <c r="BF424" s="2"/>
      <c r="BG424" s="3"/>
      <c r="BH424" s="3"/>
      <c r="BI424" s="3"/>
      <c r="BJ424" s="3"/>
    </row>
    <row r="425" spans="1:62" ht="15">
      <c r="A425" s="66" t="s">
        <v>614</v>
      </c>
      <c r="B425" s="67"/>
      <c r="C425" s="67"/>
      <c r="D425" s="68">
        <v>50</v>
      </c>
      <c r="E425" s="70"/>
      <c r="F425" s="105" t="str">
        <f>HYPERLINK("https://yt3.ggpht.com/c1lIoiGbju93WVsBESa487PqtsM5w6dgXuDkprQ2M_gw7RMPwxrB70HnxfQtvxUtIyGjTwXUniI=s88-c-k-c0x00ffffff-no-rj")</f>
        <v>https://yt3.ggpht.com/c1lIoiGbju93WVsBESa487PqtsM5w6dgXuDkprQ2M_gw7RMPwxrB70HnxfQtvxUtIyGjTwXUniI=s88-c-k-c0x00ffffff-no-rj</v>
      </c>
      <c r="G425" s="67"/>
      <c r="H425" s="71" t="s">
        <v>2845</v>
      </c>
      <c r="I425" s="72"/>
      <c r="J425" s="72" t="s">
        <v>159</v>
      </c>
      <c r="K425" s="71" t="s">
        <v>2845</v>
      </c>
      <c r="L425" s="75">
        <v>1</v>
      </c>
      <c r="M425" s="76">
        <v>4218.220703125</v>
      </c>
      <c r="N425" s="76">
        <v>6444.376953125</v>
      </c>
      <c r="O425" s="77"/>
      <c r="P425" s="78"/>
      <c r="Q425" s="78"/>
      <c r="R425" s="90"/>
      <c r="S425" s="49">
        <v>0</v>
      </c>
      <c r="T425" s="49">
        <v>1</v>
      </c>
      <c r="U425" s="50">
        <v>0</v>
      </c>
      <c r="V425" s="50">
        <v>0.209338</v>
      </c>
      <c r="W425" s="51"/>
      <c r="X425" s="51"/>
      <c r="Y425" s="51"/>
      <c r="Z425" s="50"/>
      <c r="AA425" s="73">
        <v>425</v>
      </c>
      <c r="AB425" s="73"/>
      <c r="AC425" s="74"/>
      <c r="AD425" s="81" t="s">
        <v>2845</v>
      </c>
      <c r="AE425" s="81"/>
      <c r="AF425" s="81"/>
      <c r="AG425" s="81"/>
      <c r="AH425" s="81"/>
      <c r="AI425" s="81" t="s">
        <v>3313</v>
      </c>
      <c r="AJ425" s="88">
        <v>45016.00388888889</v>
      </c>
      <c r="AK425" s="86" t="str">
        <f>HYPERLINK("https://yt3.ggpht.com/c1lIoiGbju93WVsBESa487PqtsM5w6dgXuDkprQ2M_gw7RMPwxrB70HnxfQtvxUtIyGjTwXUniI=s88-c-k-c0x00ffffff-no-rj")</f>
        <v>https://yt3.ggpht.com/c1lIoiGbju93WVsBESa487PqtsM5w6dgXuDkprQ2M_gw7RMPwxrB70HnxfQtvxUtIyGjTwXUniI=s88-c-k-c0x00ffffff-no-rj</v>
      </c>
      <c r="AL425" s="81">
        <v>0</v>
      </c>
      <c r="AM425" s="81">
        <v>0</v>
      </c>
      <c r="AN425" s="81">
        <v>0</v>
      </c>
      <c r="AO425" s="81" t="b">
        <v>0</v>
      </c>
      <c r="AP425" s="81">
        <v>0</v>
      </c>
      <c r="AQ425" s="81"/>
      <c r="AR425" s="81"/>
      <c r="AS425" s="81" t="s">
        <v>3378</v>
      </c>
      <c r="AT425" s="86" t="str">
        <f>HYPERLINK("https://www.youtube.com/channel/UCD8Dlf8WwjM2inWlDX-R6TA")</f>
        <v>https://www.youtube.com/channel/UCD8Dlf8WwjM2inWlDX-R6TA</v>
      </c>
      <c r="AU425" s="81" t="str">
        <f>REPLACE(INDEX(GroupVertices[Group],MATCH("~"&amp;Vertices[[#This Row],[Vertex]],GroupVertices[Vertex],0)),1,1,"")</f>
        <v>3</v>
      </c>
      <c r="AV425" s="49"/>
      <c r="AW425" s="49"/>
      <c r="AX425" s="49"/>
      <c r="AY425" s="49"/>
      <c r="AZ425" s="49"/>
      <c r="BA425" s="49"/>
      <c r="BB425" s="117" t="s">
        <v>4084</v>
      </c>
      <c r="BC425" s="117" t="s">
        <v>4084</v>
      </c>
      <c r="BD425" s="117" t="s">
        <v>4773</v>
      </c>
      <c r="BE425" s="117" t="s">
        <v>4773</v>
      </c>
      <c r="BF425" s="2"/>
      <c r="BG425" s="3"/>
      <c r="BH425" s="3"/>
      <c r="BI425" s="3"/>
      <c r="BJ425" s="3"/>
    </row>
    <row r="426" spans="1:62" ht="15">
      <c r="A426" s="66" t="s">
        <v>615</v>
      </c>
      <c r="B426" s="67"/>
      <c r="C426" s="67"/>
      <c r="D426" s="68">
        <v>50</v>
      </c>
      <c r="E426" s="70"/>
      <c r="F426" s="105" t="str">
        <f>HYPERLINK("https://yt3.ggpht.com/ytc/AIf8zZTiEI0G-dAgmZ83pO6kp4IfmiAuQk-Sk3qIyblZRDZWd4TBzivmqyPaTQm5sYAK=s88-c-k-c0x00ffffff-no-rj")</f>
        <v>https://yt3.ggpht.com/ytc/AIf8zZTiEI0G-dAgmZ83pO6kp4IfmiAuQk-Sk3qIyblZRDZWd4TBzivmqyPaTQm5sYAK=s88-c-k-c0x00ffffff-no-rj</v>
      </c>
      <c r="G426" s="67"/>
      <c r="H426" s="71" t="s">
        <v>2846</v>
      </c>
      <c r="I426" s="72"/>
      <c r="J426" s="72" t="s">
        <v>159</v>
      </c>
      <c r="K426" s="71" t="s">
        <v>2846</v>
      </c>
      <c r="L426" s="75">
        <v>1</v>
      </c>
      <c r="M426" s="76">
        <v>4553.017578125</v>
      </c>
      <c r="N426" s="76">
        <v>8971.8291015625</v>
      </c>
      <c r="O426" s="77"/>
      <c r="P426" s="78"/>
      <c r="Q426" s="78"/>
      <c r="R426" s="90"/>
      <c r="S426" s="49">
        <v>0</v>
      </c>
      <c r="T426" s="49">
        <v>1</v>
      </c>
      <c r="U426" s="50">
        <v>0</v>
      </c>
      <c r="V426" s="50">
        <v>0.209338</v>
      </c>
      <c r="W426" s="51"/>
      <c r="X426" s="51"/>
      <c r="Y426" s="51"/>
      <c r="Z426" s="50"/>
      <c r="AA426" s="73">
        <v>426</v>
      </c>
      <c r="AB426" s="73"/>
      <c r="AC426" s="74"/>
      <c r="AD426" s="81" t="s">
        <v>2846</v>
      </c>
      <c r="AE426" s="81"/>
      <c r="AF426" s="81"/>
      <c r="AG426" s="81"/>
      <c r="AH426" s="81"/>
      <c r="AI426" s="81" t="s">
        <v>2081</v>
      </c>
      <c r="AJ426" s="88">
        <v>44543.78560185185</v>
      </c>
      <c r="AK426" s="86" t="str">
        <f>HYPERLINK("https://yt3.ggpht.com/ytc/AIf8zZTiEI0G-dAgmZ83pO6kp4IfmiAuQk-Sk3qIyblZRDZWd4TBzivmqyPaTQm5sYAK=s88-c-k-c0x00ffffff-no-rj")</f>
        <v>https://yt3.ggpht.com/ytc/AIf8zZTiEI0G-dAgmZ83pO6kp4IfmiAuQk-Sk3qIyblZRDZWd4TBzivmqyPaTQm5sYAK=s88-c-k-c0x00ffffff-no-rj</v>
      </c>
      <c r="AL426" s="81">
        <v>0</v>
      </c>
      <c r="AM426" s="81">
        <v>0</v>
      </c>
      <c r="AN426" s="81">
        <v>0</v>
      </c>
      <c r="AO426" s="81" t="b">
        <v>0</v>
      </c>
      <c r="AP426" s="81">
        <v>0</v>
      </c>
      <c r="AQ426" s="81"/>
      <c r="AR426" s="81"/>
      <c r="AS426" s="81" t="s">
        <v>3378</v>
      </c>
      <c r="AT426" s="86" t="str">
        <f>HYPERLINK("https://www.youtube.com/channel/UCwz300XgVAtkhgeTweaQbkA")</f>
        <v>https://www.youtube.com/channel/UCwz300XgVAtkhgeTweaQbkA</v>
      </c>
      <c r="AU426" s="81" t="str">
        <f>REPLACE(INDEX(GroupVertices[Group],MATCH("~"&amp;Vertices[[#This Row],[Vertex]],GroupVertices[Vertex],0)),1,1,"")</f>
        <v>3</v>
      </c>
      <c r="AV426" s="49"/>
      <c r="AW426" s="49"/>
      <c r="AX426" s="49"/>
      <c r="AY426" s="49"/>
      <c r="AZ426" s="49"/>
      <c r="BA426" s="49"/>
      <c r="BB426" s="117" t="s">
        <v>4085</v>
      </c>
      <c r="BC426" s="117" t="s">
        <v>4371</v>
      </c>
      <c r="BD426" s="117" t="s">
        <v>4774</v>
      </c>
      <c r="BE426" s="117" t="s">
        <v>5041</v>
      </c>
      <c r="BF426" s="2"/>
      <c r="BG426" s="3"/>
      <c r="BH426" s="3"/>
      <c r="BI426" s="3"/>
      <c r="BJ426" s="3"/>
    </row>
    <row r="427" spans="1:62" ht="15">
      <c r="A427" s="66" t="s">
        <v>616</v>
      </c>
      <c r="B427" s="67"/>
      <c r="C427" s="67"/>
      <c r="D427" s="68">
        <v>50</v>
      </c>
      <c r="E427" s="70"/>
      <c r="F427" s="105" t="str">
        <f>HYPERLINK("https://yt3.ggpht.com/ytc/AIf8zZS-RaWfrGlqYZfUrpM3NhPB0TcLfmoXXjdaUw=s88-c-k-c0x00ffffff-no-rj")</f>
        <v>https://yt3.ggpht.com/ytc/AIf8zZS-RaWfrGlqYZfUrpM3NhPB0TcLfmoXXjdaUw=s88-c-k-c0x00ffffff-no-rj</v>
      </c>
      <c r="G427" s="67"/>
      <c r="H427" s="71" t="s">
        <v>2847</v>
      </c>
      <c r="I427" s="72"/>
      <c r="J427" s="72" t="s">
        <v>159</v>
      </c>
      <c r="K427" s="71" t="s">
        <v>2847</v>
      </c>
      <c r="L427" s="75">
        <v>1</v>
      </c>
      <c r="M427" s="76">
        <v>5797.73876953125</v>
      </c>
      <c r="N427" s="76">
        <v>9380.0361328125</v>
      </c>
      <c r="O427" s="77"/>
      <c r="P427" s="78"/>
      <c r="Q427" s="78"/>
      <c r="R427" s="90"/>
      <c r="S427" s="49">
        <v>0</v>
      </c>
      <c r="T427" s="49">
        <v>1</v>
      </c>
      <c r="U427" s="50">
        <v>0</v>
      </c>
      <c r="V427" s="50">
        <v>0.209338</v>
      </c>
      <c r="W427" s="51"/>
      <c r="X427" s="51"/>
      <c r="Y427" s="51"/>
      <c r="Z427" s="50"/>
      <c r="AA427" s="73">
        <v>427</v>
      </c>
      <c r="AB427" s="73"/>
      <c r="AC427" s="74"/>
      <c r="AD427" s="81" t="s">
        <v>2847</v>
      </c>
      <c r="AE427" s="81"/>
      <c r="AF427" s="81"/>
      <c r="AG427" s="81"/>
      <c r="AH427" s="81"/>
      <c r="AI427" s="81" t="s">
        <v>3314</v>
      </c>
      <c r="AJ427" s="88">
        <v>39724.1171875</v>
      </c>
      <c r="AK427" s="86" t="str">
        <f>HYPERLINK("https://yt3.ggpht.com/ytc/AIf8zZS-RaWfrGlqYZfUrpM3NhPB0TcLfmoXXjdaUw=s88-c-k-c0x00ffffff-no-rj")</f>
        <v>https://yt3.ggpht.com/ytc/AIf8zZS-RaWfrGlqYZfUrpM3NhPB0TcLfmoXXjdaUw=s88-c-k-c0x00ffffff-no-rj</v>
      </c>
      <c r="AL427" s="81">
        <v>0</v>
      </c>
      <c r="AM427" s="81">
        <v>0</v>
      </c>
      <c r="AN427" s="81">
        <v>0</v>
      </c>
      <c r="AO427" s="81" t="b">
        <v>0</v>
      </c>
      <c r="AP427" s="81">
        <v>0</v>
      </c>
      <c r="AQ427" s="81"/>
      <c r="AR427" s="81"/>
      <c r="AS427" s="81" t="s">
        <v>3378</v>
      </c>
      <c r="AT427" s="86" t="str">
        <f>HYPERLINK("https://www.youtube.com/channel/UC9cqFiYM22JO8FuNn-aBgOQ")</f>
        <v>https://www.youtube.com/channel/UC9cqFiYM22JO8FuNn-aBgOQ</v>
      </c>
      <c r="AU427" s="81" t="str">
        <f>REPLACE(INDEX(GroupVertices[Group],MATCH("~"&amp;Vertices[[#This Row],[Vertex]],GroupVertices[Vertex],0)),1,1,"")</f>
        <v>3</v>
      </c>
      <c r="AV427" s="49"/>
      <c r="AW427" s="49"/>
      <c r="AX427" s="49"/>
      <c r="AY427" s="49"/>
      <c r="AZ427" s="49"/>
      <c r="BA427" s="49"/>
      <c r="BB427" s="117" t="s">
        <v>4086</v>
      </c>
      <c r="BC427" s="117" t="s">
        <v>4086</v>
      </c>
      <c r="BD427" s="117" t="s">
        <v>4775</v>
      </c>
      <c r="BE427" s="117" t="s">
        <v>4775</v>
      </c>
      <c r="BF427" s="2"/>
      <c r="BG427" s="3"/>
      <c r="BH427" s="3"/>
      <c r="BI427" s="3"/>
      <c r="BJ427" s="3"/>
    </row>
    <row r="428" spans="1:62" ht="15">
      <c r="A428" s="66" t="s">
        <v>617</v>
      </c>
      <c r="B428" s="67"/>
      <c r="C428" s="67"/>
      <c r="D428" s="68">
        <v>50</v>
      </c>
      <c r="E428" s="70"/>
      <c r="F428" s="105" t="str">
        <f>HYPERLINK("https://yt3.ggpht.com/GwaPFoY6MlJ17MAqub91grnFqAIQQ2NKuCkIOt6a0yD34lDOCzfys2f6v3NGUi4R5VC8fz3g7bw=s88-c-k-c0x00ffffff-no-rj")</f>
        <v>https://yt3.ggpht.com/GwaPFoY6MlJ17MAqub91grnFqAIQQ2NKuCkIOt6a0yD34lDOCzfys2f6v3NGUi4R5VC8fz3g7bw=s88-c-k-c0x00ffffff-no-rj</v>
      </c>
      <c r="G428" s="67"/>
      <c r="H428" s="71" t="s">
        <v>2848</v>
      </c>
      <c r="I428" s="72"/>
      <c r="J428" s="72" t="s">
        <v>159</v>
      </c>
      <c r="K428" s="71" t="s">
        <v>2848</v>
      </c>
      <c r="L428" s="75">
        <v>1</v>
      </c>
      <c r="M428" s="76">
        <v>4392.8408203125</v>
      </c>
      <c r="N428" s="76">
        <v>9410.515625</v>
      </c>
      <c r="O428" s="77"/>
      <c r="P428" s="78"/>
      <c r="Q428" s="78"/>
      <c r="R428" s="90"/>
      <c r="S428" s="49">
        <v>0</v>
      </c>
      <c r="T428" s="49">
        <v>1</v>
      </c>
      <c r="U428" s="50">
        <v>0</v>
      </c>
      <c r="V428" s="50">
        <v>0.209338</v>
      </c>
      <c r="W428" s="51"/>
      <c r="X428" s="51"/>
      <c r="Y428" s="51"/>
      <c r="Z428" s="50"/>
      <c r="AA428" s="73">
        <v>428</v>
      </c>
      <c r="AB428" s="73"/>
      <c r="AC428" s="74"/>
      <c r="AD428" s="81" t="s">
        <v>2848</v>
      </c>
      <c r="AE428" s="81"/>
      <c r="AF428" s="81"/>
      <c r="AG428" s="81"/>
      <c r="AH428" s="81"/>
      <c r="AI428" s="81" t="s">
        <v>2083</v>
      </c>
      <c r="AJ428" s="88">
        <v>44447.2130787037</v>
      </c>
      <c r="AK428" s="86" t="str">
        <f>HYPERLINK("https://yt3.ggpht.com/GwaPFoY6MlJ17MAqub91grnFqAIQQ2NKuCkIOt6a0yD34lDOCzfys2f6v3NGUi4R5VC8fz3g7bw=s88-c-k-c0x00ffffff-no-rj")</f>
        <v>https://yt3.ggpht.com/GwaPFoY6MlJ17MAqub91grnFqAIQQ2NKuCkIOt6a0yD34lDOCzfys2f6v3NGUi4R5VC8fz3g7bw=s88-c-k-c0x00ffffff-no-rj</v>
      </c>
      <c r="AL428" s="81">
        <v>0</v>
      </c>
      <c r="AM428" s="81">
        <v>0</v>
      </c>
      <c r="AN428" s="81">
        <v>0</v>
      </c>
      <c r="AO428" s="81" t="b">
        <v>0</v>
      </c>
      <c r="AP428" s="81">
        <v>0</v>
      </c>
      <c r="AQ428" s="81"/>
      <c r="AR428" s="81"/>
      <c r="AS428" s="81" t="s">
        <v>3378</v>
      </c>
      <c r="AT428" s="86" t="str">
        <f>HYPERLINK("https://www.youtube.com/channel/UCtxs8eSxQlIRD3AGW6_OROw")</f>
        <v>https://www.youtube.com/channel/UCtxs8eSxQlIRD3AGW6_OROw</v>
      </c>
      <c r="AU428" s="81" t="str">
        <f>REPLACE(INDEX(GroupVertices[Group],MATCH("~"&amp;Vertices[[#This Row],[Vertex]],GroupVertices[Vertex],0)),1,1,"")</f>
        <v>3</v>
      </c>
      <c r="AV428" s="49"/>
      <c r="AW428" s="49"/>
      <c r="AX428" s="49"/>
      <c r="AY428" s="49"/>
      <c r="AZ428" s="49"/>
      <c r="BA428" s="49"/>
      <c r="BB428" s="117" t="s">
        <v>4087</v>
      </c>
      <c r="BC428" s="117" t="s">
        <v>4087</v>
      </c>
      <c r="BD428" s="117" t="s">
        <v>4776</v>
      </c>
      <c r="BE428" s="117" t="s">
        <v>4776</v>
      </c>
      <c r="BF428" s="2"/>
      <c r="BG428" s="3"/>
      <c r="BH428" s="3"/>
      <c r="BI428" s="3"/>
      <c r="BJ428" s="3"/>
    </row>
    <row r="429" spans="1:62" ht="15">
      <c r="A429" s="66" t="s">
        <v>618</v>
      </c>
      <c r="B429" s="67"/>
      <c r="C429" s="67"/>
      <c r="D429" s="68">
        <v>50</v>
      </c>
      <c r="E429" s="70"/>
      <c r="F429" s="105" t="str">
        <f>HYPERLINK("https://yt3.ggpht.com/teGkFyCvJB2mgpHTKj03QByIL0RW2UgQGztQP51MhRfU7Net9EujZtE-lEb3ILmLpsfWHJN_=s88-c-k-c0x00ffffff-no-rj")</f>
        <v>https://yt3.ggpht.com/teGkFyCvJB2mgpHTKj03QByIL0RW2UgQGztQP51MhRfU7Net9EujZtE-lEb3ILmLpsfWHJN_=s88-c-k-c0x00ffffff-no-rj</v>
      </c>
      <c r="G429" s="67"/>
      <c r="H429" s="71" t="s">
        <v>2849</v>
      </c>
      <c r="I429" s="72"/>
      <c r="J429" s="72" t="s">
        <v>159</v>
      </c>
      <c r="K429" s="71" t="s">
        <v>2849</v>
      </c>
      <c r="L429" s="75">
        <v>1</v>
      </c>
      <c r="M429" s="76">
        <v>6081.890625</v>
      </c>
      <c r="N429" s="76">
        <v>7814.87451171875</v>
      </c>
      <c r="O429" s="77"/>
      <c r="P429" s="78"/>
      <c r="Q429" s="78"/>
      <c r="R429" s="90"/>
      <c r="S429" s="49">
        <v>0</v>
      </c>
      <c r="T429" s="49">
        <v>1</v>
      </c>
      <c r="U429" s="50">
        <v>0</v>
      </c>
      <c r="V429" s="50">
        <v>0.209338</v>
      </c>
      <c r="W429" s="51"/>
      <c r="X429" s="51"/>
      <c r="Y429" s="51"/>
      <c r="Z429" s="50"/>
      <c r="AA429" s="73">
        <v>429</v>
      </c>
      <c r="AB429" s="73"/>
      <c r="AC429" s="74"/>
      <c r="AD429" s="81" t="s">
        <v>2849</v>
      </c>
      <c r="AE429" s="81"/>
      <c r="AF429" s="81"/>
      <c r="AG429" s="81"/>
      <c r="AH429" s="81"/>
      <c r="AI429" s="81" t="s">
        <v>2084</v>
      </c>
      <c r="AJ429" s="88">
        <v>45204.766180555554</v>
      </c>
      <c r="AK429" s="86" t="str">
        <f>HYPERLINK("https://yt3.ggpht.com/teGkFyCvJB2mgpHTKj03QByIL0RW2UgQGztQP51MhRfU7Net9EujZtE-lEb3ILmLpsfWHJN_=s88-c-k-c0x00ffffff-no-rj")</f>
        <v>https://yt3.ggpht.com/teGkFyCvJB2mgpHTKj03QByIL0RW2UgQGztQP51MhRfU7Net9EujZtE-lEb3ILmLpsfWHJN_=s88-c-k-c0x00ffffff-no-rj</v>
      </c>
      <c r="AL429" s="81">
        <v>0</v>
      </c>
      <c r="AM429" s="81">
        <v>0</v>
      </c>
      <c r="AN429" s="81">
        <v>0</v>
      </c>
      <c r="AO429" s="81" t="b">
        <v>0</v>
      </c>
      <c r="AP429" s="81">
        <v>0</v>
      </c>
      <c r="AQ429" s="81"/>
      <c r="AR429" s="81"/>
      <c r="AS429" s="81" t="s">
        <v>3378</v>
      </c>
      <c r="AT429" s="86" t="str">
        <f>HYPERLINK("https://www.youtube.com/channel/UCpci2sLkL_ruOvMfjkxt23g")</f>
        <v>https://www.youtube.com/channel/UCpci2sLkL_ruOvMfjkxt23g</v>
      </c>
      <c r="AU429" s="81" t="str">
        <f>REPLACE(INDEX(GroupVertices[Group],MATCH("~"&amp;Vertices[[#This Row],[Vertex]],GroupVertices[Vertex],0)),1,1,"")</f>
        <v>3</v>
      </c>
      <c r="AV429" s="49"/>
      <c r="AW429" s="49"/>
      <c r="AX429" s="49"/>
      <c r="AY429" s="49"/>
      <c r="AZ429" s="49"/>
      <c r="BA429" s="49"/>
      <c r="BB429" s="117" t="s">
        <v>4088</v>
      </c>
      <c r="BC429" s="117" t="s">
        <v>4088</v>
      </c>
      <c r="BD429" s="117" t="s">
        <v>4777</v>
      </c>
      <c r="BE429" s="117" t="s">
        <v>4777</v>
      </c>
      <c r="BF429" s="2"/>
      <c r="BG429" s="3"/>
      <c r="BH429" s="3"/>
      <c r="BI429" s="3"/>
      <c r="BJ429" s="3"/>
    </row>
    <row r="430" spans="1:62" ht="15">
      <c r="A430" s="66" t="s">
        <v>619</v>
      </c>
      <c r="B430" s="67"/>
      <c r="C430" s="67"/>
      <c r="D430" s="68">
        <v>50</v>
      </c>
      <c r="E430" s="70"/>
      <c r="F430" s="105" t="str">
        <f>HYPERLINK("https://yt3.ggpht.com/kFu_X3YsA-MznhSt7h7yMvWuqDWTIFCKIyKUNaMiwdoANIChZqYlK0Jl0Hm5mtAe4KmpVjln=s88-c-k-c0x00ffffff-no-rj")</f>
        <v>https://yt3.ggpht.com/kFu_X3YsA-MznhSt7h7yMvWuqDWTIFCKIyKUNaMiwdoANIChZqYlK0Jl0Hm5mtAe4KmpVjln=s88-c-k-c0x00ffffff-no-rj</v>
      </c>
      <c r="G430" s="67"/>
      <c r="H430" s="71" t="s">
        <v>2850</v>
      </c>
      <c r="I430" s="72"/>
      <c r="J430" s="72" t="s">
        <v>159</v>
      </c>
      <c r="K430" s="71" t="s">
        <v>2850</v>
      </c>
      <c r="L430" s="75">
        <v>1</v>
      </c>
      <c r="M430" s="76">
        <v>8757.0859375</v>
      </c>
      <c r="N430" s="76">
        <v>472.51373291015625</v>
      </c>
      <c r="O430" s="77"/>
      <c r="P430" s="78"/>
      <c r="Q430" s="78"/>
      <c r="R430" s="90"/>
      <c r="S430" s="49">
        <v>0</v>
      </c>
      <c r="T430" s="49">
        <v>1</v>
      </c>
      <c r="U430" s="50">
        <v>0</v>
      </c>
      <c r="V430" s="50">
        <v>0.002582</v>
      </c>
      <c r="W430" s="51"/>
      <c r="X430" s="51"/>
      <c r="Y430" s="51"/>
      <c r="Z430" s="50"/>
      <c r="AA430" s="73">
        <v>430</v>
      </c>
      <c r="AB430" s="73"/>
      <c r="AC430" s="74"/>
      <c r="AD430" s="81" t="s">
        <v>2850</v>
      </c>
      <c r="AE430" s="81" t="s">
        <v>3185</v>
      </c>
      <c r="AF430" s="81"/>
      <c r="AG430" s="81"/>
      <c r="AH430" s="81"/>
      <c r="AI430" s="81" t="s">
        <v>3315</v>
      </c>
      <c r="AJ430" s="88">
        <v>39801.155277777776</v>
      </c>
      <c r="AK430" s="86" t="str">
        <f>HYPERLINK("https://yt3.ggpht.com/kFu_X3YsA-MznhSt7h7yMvWuqDWTIFCKIyKUNaMiwdoANIChZqYlK0Jl0Hm5mtAe4KmpVjln=s88-c-k-c0x00ffffff-no-rj")</f>
        <v>https://yt3.ggpht.com/kFu_X3YsA-MznhSt7h7yMvWuqDWTIFCKIyKUNaMiwdoANIChZqYlK0Jl0Hm5mtAe4KmpVjln=s88-c-k-c0x00ffffff-no-rj</v>
      </c>
      <c r="AL430" s="81">
        <v>698662</v>
      </c>
      <c r="AM430" s="81">
        <v>0</v>
      </c>
      <c r="AN430" s="81">
        <v>2670</v>
      </c>
      <c r="AO430" s="81" t="b">
        <v>0</v>
      </c>
      <c r="AP430" s="81">
        <v>474</v>
      </c>
      <c r="AQ430" s="81"/>
      <c r="AR430" s="81"/>
      <c r="AS430" s="81" t="s">
        <v>3378</v>
      </c>
      <c r="AT430" s="86" t="str">
        <f>HYPERLINK("https://www.youtube.com/channel/UCt5h7mSYF__S9Gg2kTtxqqw")</f>
        <v>https://www.youtube.com/channel/UCt5h7mSYF__S9Gg2kTtxqqw</v>
      </c>
      <c r="AU430" s="81" t="str">
        <f>REPLACE(INDEX(GroupVertices[Group],MATCH("~"&amp;Vertices[[#This Row],[Vertex]],GroupVertices[Vertex],0)),1,1,"")</f>
        <v>8</v>
      </c>
      <c r="AV430" s="49"/>
      <c r="AW430" s="49"/>
      <c r="AX430" s="49"/>
      <c r="AY430" s="49"/>
      <c r="AZ430" s="49"/>
      <c r="BA430" s="49"/>
      <c r="BB430" s="117" t="s">
        <v>4089</v>
      </c>
      <c r="BC430" s="117" t="s">
        <v>4089</v>
      </c>
      <c r="BD430" s="117" t="s">
        <v>4778</v>
      </c>
      <c r="BE430" s="117" t="s">
        <v>4778</v>
      </c>
      <c r="BF430" s="2"/>
      <c r="BG430" s="3"/>
      <c r="BH430" s="3"/>
      <c r="BI430" s="3"/>
      <c r="BJ430" s="3"/>
    </row>
    <row r="431" spans="1:62" ht="15">
      <c r="A431" s="66" t="s">
        <v>620</v>
      </c>
      <c r="B431" s="67"/>
      <c r="C431" s="67"/>
      <c r="D431" s="68">
        <v>50</v>
      </c>
      <c r="E431" s="70"/>
      <c r="F431" s="105" t="str">
        <f>HYPERLINK("https://yt3.ggpht.com/ytc/AIf8zZRUAUqHaqRBS8q3qSyEmvP1n5KywBhS-0O4yuz5Y58=s88-c-k-c0x00ffffff-no-rj")</f>
        <v>https://yt3.ggpht.com/ytc/AIf8zZRUAUqHaqRBS8q3qSyEmvP1n5KywBhS-0O4yuz5Y58=s88-c-k-c0x00ffffff-no-rj</v>
      </c>
      <c r="G431" s="67"/>
      <c r="H431" s="71" t="s">
        <v>2852</v>
      </c>
      <c r="I431" s="72"/>
      <c r="J431" s="72" t="s">
        <v>159</v>
      </c>
      <c r="K431" s="71" t="s">
        <v>2852</v>
      </c>
      <c r="L431" s="75">
        <v>1</v>
      </c>
      <c r="M431" s="76">
        <v>8474.0283203125</v>
      </c>
      <c r="N431" s="76">
        <v>472.51373291015625</v>
      </c>
      <c r="O431" s="77"/>
      <c r="P431" s="78"/>
      <c r="Q431" s="78"/>
      <c r="R431" s="90"/>
      <c r="S431" s="49">
        <v>0</v>
      </c>
      <c r="T431" s="49">
        <v>1</v>
      </c>
      <c r="U431" s="50">
        <v>0</v>
      </c>
      <c r="V431" s="50">
        <v>0.002582</v>
      </c>
      <c r="W431" s="51"/>
      <c r="X431" s="51"/>
      <c r="Y431" s="51"/>
      <c r="Z431" s="50"/>
      <c r="AA431" s="73">
        <v>431</v>
      </c>
      <c r="AB431" s="73"/>
      <c r="AC431" s="74"/>
      <c r="AD431" s="81" t="s">
        <v>2852</v>
      </c>
      <c r="AE431" s="81"/>
      <c r="AF431" s="81"/>
      <c r="AG431" s="81"/>
      <c r="AH431" s="81"/>
      <c r="AI431" s="81" t="s">
        <v>2086</v>
      </c>
      <c r="AJ431" s="88">
        <v>41789.87621527778</v>
      </c>
      <c r="AK431" s="86" t="str">
        <f>HYPERLINK("https://yt3.ggpht.com/ytc/AIf8zZRUAUqHaqRBS8q3qSyEmvP1n5KywBhS-0O4yuz5Y58=s88-c-k-c0x00ffffff-no-rj")</f>
        <v>https://yt3.ggpht.com/ytc/AIf8zZRUAUqHaqRBS8q3qSyEmvP1n5KywBhS-0O4yuz5Y58=s88-c-k-c0x00ffffff-no-rj</v>
      </c>
      <c r="AL431" s="81">
        <v>384</v>
      </c>
      <c r="AM431" s="81">
        <v>0</v>
      </c>
      <c r="AN431" s="81">
        <v>3</v>
      </c>
      <c r="AO431" s="81" t="b">
        <v>0</v>
      </c>
      <c r="AP431" s="81">
        <v>8</v>
      </c>
      <c r="AQ431" s="81"/>
      <c r="AR431" s="81"/>
      <c r="AS431" s="81" t="s">
        <v>3378</v>
      </c>
      <c r="AT431" s="86" t="str">
        <f>HYPERLINK("https://www.youtube.com/channel/UCabVEwgOPIRS9PEGfje06ig")</f>
        <v>https://www.youtube.com/channel/UCabVEwgOPIRS9PEGfje06ig</v>
      </c>
      <c r="AU431" s="81" t="str">
        <f>REPLACE(INDEX(GroupVertices[Group],MATCH("~"&amp;Vertices[[#This Row],[Vertex]],GroupVertices[Vertex],0)),1,1,"")</f>
        <v>8</v>
      </c>
      <c r="AV431" s="49"/>
      <c r="AW431" s="49"/>
      <c r="AX431" s="49"/>
      <c r="AY431" s="49"/>
      <c r="AZ431" s="49"/>
      <c r="BA431" s="49"/>
      <c r="BB431" s="117" t="s">
        <v>4090</v>
      </c>
      <c r="BC431" s="117" t="s">
        <v>4090</v>
      </c>
      <c r="BD431" s="117" t="s">
        <v>4779</v>
      </c>
      <c r="BE431" s="117" t="s">
        <v>4779</v>
      </c>
      <c r="BF431" s="2"/>
      <c r="BG431" s="3"/>
      <c r="BH431" s="3"/>
      <c r="BI431" s="3"/>
      <c r="BJ431" s="3"/>
    </row>
    <row r="432" spans="1:62" ht="15">
      <c r="A432" s="66" t="s">
        <v>621</v>
      </c>
      <c r="B432" s="67"/>
      <c r="C432" s="67"/>
      <c r="D432" s="68">
        <v>50</v>
      </c>
      <c r="E432" s="70"/>
      <c r="F432" s="105" t="str">
        <f>HYPERLINK("https://yt3.ggpht.com/ytc/AIf8zZSoiOS8sxP0fIRe0GGUBWpUCPwwdX1cYpqKZ04-_5285ytrIp_ShEeZ8zAZ3zZZ=s88-c-k-c0x00ffffff-no-rj")</f>
        <v>https://yt3.ggpht.com/ytc/AIf8zZSoiOS8sxP0fIRe0GGUBWpUCPwwdX1cYpqKZ04-_5285ytrIp_ShEeZ8zAZ3zZZ=s88-c-k-c0x00ffffff-no-rj</v>
      </c>
      <c r="G432" s="67"/>
      <c r="H432" s="71" t="s">
        <v>2853</v>
      </c>
      <c r="I432" s="72"/>
      <c r="J432" s="72" t="s">
        <v>159</v>
      </c>
      <c r="K432" s="71" t="s">
        <v>2853</v>
      </c>
      <c r="L432" s="75">
        <v>1</v>
      </c>
      <c r="M432" s="76">
        <v>9040.1435546875</v>
      </c>
      <c r="N432" s="76">
        <v>472.51373291015625</v>
      </c>
      <c r="O432" s="77"/>
      <c r="P432" s="78"/>
      <c r="Q432" s="78"/>
      <c r="R432" s="90"/>
      <c r="S432" s="49">
        <v>0</v>
      </c>
      <c r="T432" s="49">
        <v>1</v>
      </c>
      <c r="U432" s="50">
        <v>0</v>
      </c>
      <c r="V432" s="50">
        <v>0.002582</v>
      </c>
      <c r="W432" s="51"/>
      <c r="X432" s="51"/>
      <c r="Y432" s="51"/>
      <c r="Z432" s="50"/>
      <c r="AA432" s="73">
        <v>432</v>
      </c>
      <c r="AB432" s="73"/>
      <c r="AC432" s="74"/>
      <c r="AD432" s="81" t="s">
        <v>2853</v>
      </c>
      <c r="AE432" s="81"/>
      <c r="AF432" s="81"/>
      <c r="AG432" s="81"/>
      <c r="AH432" s="81"/>
      <c r="AI432" s="81" t="s">
        <v>2087</v>
      </c>
      <c r="AJ432" s="88">
        <v>44612.776655092595</v>
      </c>
      <c r="AK432" s="86" t="str">
        <f>HYPERLINK("https://yt3.ggpht.com/ytc/AIf8zZSoiOS8sxP0fIRe0GGUBWpUCPwwdX1cYpqKZ04-_5285ytrIp_ShEeZ8zAZ3zZZ=s88-c-k-c0x00ffffff-no-rj")</f>
        <v>https://yt3.ggpht.com/ytc/AIf8zZSoiOS8sxP0fIRe0GGUBWpUCPwwdX1cYpqKZ04-_5285ytrIp_ShEeZ8zAZ3zZZ=s88-c-k-c0x00ffffff-no-rj</v>
      </c>
      <c r="AL432" s="81">
        <v>0</v>
      </c>
      <c r="AM432" s="81">
        <v>0</v>
      </c>
      <c r="AN432" s="81">
        <v>0</v>
      </c>
      <c r="AO432" s="81" t="b">
        <v>0</v>
      </c>
      <c r="AP432" s="81">
        <v>0</v>
      </c>
      <c r="AQ432" s="81"/>
      <c r="AR432" s="81"/>
      <c r="AS432" s="81" t="s">
        <v>3378</v>
      </c>
      <c r="AT432" s="86" t="str">
        <f>HYPERLINK("https://www.youtube.com/channel/UC_jrDCc0TN56qJ3qVpA0hxA")</f>
        <v>https://www.youtube.com/channel/UC_jrDCc0TN56qJ3qVpA0hxA</v>
      </c>
      <c r="AU432" s="81" t="str">
        <f>REPLACE(INDEX(GroupVertices[Group],MATCH("~"&amp;Vertices[[#This Row],[Vertex]],GroupVertices[Vertex],0)),1,1,"")</f>
        <v>8</v>
      </c>
      <c r="AV432" s="49"/>
      <c r="AW432" s="49"/>
      <c r="AX432" s="49"/>
      <c r="AY432" s="49"/>
      <c r="AZ432" s="49"/>
      <c r="BA432" s="49"/>
      <c r="BB432" s="117" t="s">
        <v>4091</v>
      </c>
      <c r="BC432" s="117" t="s">
        <v>4091</v>
      </c>
      <c r="BD432" s="117" t="s">
        <v>2423</v>
      </c>
      <c r="BE432" s="117" t="s">
        <v>2423</v>
      </c>
      <c r="BF432" s="2"/>
      <c r="BG432" s="3"/>
      <c r="BH432" s="3"/>
      <c r="BI432" s="3"/>
      <c r="BJ432" s="3"/>
    </row>
    <row r="433" spans="1:62" ht="15">
      <c r="A433" s="66" t="s">
        <v>622</v>
      </c>
      <c r="B433" s="67"/>
      <c r="C433" s="67"/>
      <c r="D433" s="68">
        <v>50</v>
      </c>
      <c r="E433" s="70"/>
      <c r="F433" s="105" t="str">
        <f>HYPERLINK("https://yt3.ggpht.com/ytc/AIf8zZSfHXM4u2nCvFN9x2eoQ33nE4epb1Lhc-B8nA=s88-c-k-c0x00ffffff-no-rj")</f>
        <v>https://yt3.ggpht.com/ytc/AIf8zZSfHXM4u2nCvFN9x2eoQ33nE4epb1Lhc-B8nA=s88-c-k-c0x00ffffff-no-rj</v>
      </c>
      <c r="G433" s="67"/>
      <c r="H433" s="71" t="s">
        <v>2854</v>
      </c>
      <c r="I433" s="72"/>
      <c r="J433" s="72" t="s">
        <v>159</v>
      </c>
      <c r="K433" s="71" t="s">
        <v>2854</v>
      </c>
      <c r="L433" s="75">
        <v>1</v>
      </c>
      <c r="M433" s="76">
        <v>3108.565673828125</v>
      </c>
      <c r="N433" s="76">
        <v>578.5926513671875</v>
      </c>
      <c r="O433" s="77"/>
      <c r="P433" s="78"/>
      <c r="Q433" s="78"/>
      <c r="R433" s="90"/>
      <c r="S433" s="49">
        <v>0</v>
      </c>
      <c r="T433" s="49">
        <v>1</v>
      </c>
      <c r="U433" s="50">
        <v>0</v>
      </c>
      <c r="V433" s="50">
        <v>0.220416</v>
      </c>
      <c r="W433" s="51"/>
      <c r="X433" s="51"/>
      <c r="Y433" s="51"/>
      <c r="Z433" s="50"/>
      <c r="AA433" s="73">
        <v>433</v>
      </c>
      <c r="AB433" s="73"/>
      <c r="AC433" s="74"/>
      <c r="AD433" s="81" t="s">
        <v>2854</v>
      </c>
      <c r="AE433" s="81"/>
      <c r="AF433" s="81"/>
      <c r="AG433" s="81"/>
      <c r="AH433" s="81"/>
      <c r="AI433" s="81" t="s">
        <v>2088</v>
      </c>
      <c r="AJ433" s="88">
        <v>43163.86574074074</v>
      </c>
      <c r="AK433" s="86" t="str">
        <f>HYPERLINK("https://yt3.ggpht.com/ytc/AIf8zZSfHXM4u2nCvFN9x2eoQ33nE4epb1Lhc-B8nA=s88-c-k-c0x00ffffff-no-rj")</f>
        <v>https://yt3.ggpht.com/ytc/AIf8zZSfHXM4u2nCvFN9x2eoQ33nE4epb1Lhc-B8nA=s88-c-k-c0x00ffffff-no-rj</v>
      </c>
      <c r="AL433" s="81">
        <v>0</v>
      </c>
      <c r="AM433" s="81">
        <v>0</v>
      </c>
      <c r="AN433" s="81">
        <v>0</v>
      </c>
      <c r="AO433" s="81" t="b">
        <v>0</v>
      </c>
      <c r="AP433" s="81">
        <v>0</v>
      </c>
      <c r="AQ433" s="81"/>
      <c r="AR433" s="81"/>
      <c r="AS433" s="81" t="s">
        <v>3378</v>
      </c>
      <c r="AT433" s="86" t="str">
        <f>HYPERLINK("https://www.youtube.com/channel/UC6Iks4Ylg1S-9mFZPI9ra8w")</f>
        <v>https://www.youtube.com/channel/UC6Iks4Ylg1S-9mFZPI9ra8w</v>
      </c>
      <c r="AU433" s="81" t="str">
        <f>REPLACE(INDEX(GroupVertices[Group],MATCH("~"&amp;Vertices[[#This Row],[Vertex]],GroupVertices[Vertex],0)),1,1,"")</f>
        <v>2</v>
      </c>
      <c r="AV433" s="49"/>
      <c r="AW433" s="49"/>
      <c r="AX433" s="49"/>
      <c r="AY433" s="49"/>
      <c r="AZ433" s="49"/>
      <c r="BA433" s="49"/>
      <c r="BB433" s="117" t="s">
        <v>4092</v>
      </c>
      <c r="BC433" s="117" t="s">
        <v>4092</v>
      </c>
      <c r="BD433" s="117" t="s">
        <v>4780</v>
      </c>
      <c r="BE433" s="117" t="s">
        <v>4780</v>
      </c>
      <c r="BF433" s="2"/>
      <c r="BG433" s="3"/>
      <c r="BH433" s="3"/>
      <c r="BI433" s="3"/>
      <c r="BJ433" s="3"/>
    </row>
    <row r="434" spans="1:62" ht="15">
      <c r="A434" s="66" t="s">
        <v>623</v>
      </c>
      <c r="B434" s="67"/>
      <c r="C434" s="67"/>
      <c r="D434" s="68">
        <v>50</v>
      </c>
      <c r="E434" s="70"/>
      <c r="F434" s="105" t="str">
        <f>HYPERLINK("https://yt3.ggpht.com/ytc/AIf8zZQyC-aOBq5CMwhiC9g2B0nETzwi9MpQLSxnGdDSzA=s88-c-k-c0x00ffffff-no-rj")</f>
        <v>https://yt3.ggpht.com/ytc/AIf8zZQyC-aOBq5CMwhiC9g2B0nETzwi9MpQLSxnGdDSzA=s88-c-k-c0x00ffffff-no-rj</v>
      </c>
      <c r="G434" s="67"/>
      <c r="H434" s="71" t="s">
        <v>2856</v>
      </c>
      <c r="I434" s="72"/>
      <c r="J434" s="72" t="s">
        <v>159</v>
      </c>
      <c r="K434" s="71" t="s">
        <v>2856</v>
      </c>
      <c r="L434" s="75">
        <v>1</v>
      </c>
      <c r="M434" s="76">
        <v>2178.4677734375</v>
      </c>
      <c r="N434" s="76">
        <v>435.3846130371094</v>
      </c>
      <c r="O434" s="77"/>
      <c r="P434" s="78"/>
      <c r="Q434" s="78"/>
      <c r="R434" s="90"/>
      <c r="S434" s="49">
        <v>0</v>
      </c>
      <c r="T434" s="49">
        <v>1</v>
      </c>
      <c r="U434" s="50">
        <v>0</v>
      </c>
      <c r="V434" s="50">
        <v>0.220416</v>
      </c>
      <c r="W434" s="51"/>
      <c r="X434" s="51"/>
      <c r="Y434" s="51"/>
      <c r="Z434" s="50"/>
      <c r="AA434" s="73">
        <v>434</v>
      </c>
      <c r="AB434" s="73"/>
      <c r="AC434" s="74"/>
      <c r="AD434" s="81" t="s">
        <v>2856</v>
      </c>
      <c r="AE434" s="81"/>
      <c r="AF434" s="81"/>
      <c r="AG434" s="81"/>
      <c r="AH434" s="81"/>
      <c r="AI434" s="81" t="s">
        <v>2089</v>
      </c>
      <c r="AJ434" s="88">
        <v>43098.09460648148</v>
      </c>
      <c r="AK434" s="86" t="str">
        <f>HYPERLINK("https://yt3.ggpht.com/ytc/AIf8zZQyC-aOBq5CMwhiC9g2B0nETzwi9MpQLSxnGdDSzA=s88-c-k-c0x00ffffff-no-rj")</f>
        <v>https://yt3.ggpht.com/ytc/AIf8zZQyC-aOBq5CMwhiC9g2B0nETzwi9MpQLSxnGdDSzA=s88-c-k-c0x00ffffff-no-rj</v>
      </c>
      <c r="AL434" s="81">
        <v>0</v>
      </c>
      <c r="AM434" s="81">
        <v>0</v>
      </c>
      <c r="AN434" s="81">
        <v>4</v>
      </c>
      <c r="AO434" s="81" t="b">
        <v>0</v>
      </c>
      <c r="AP434" s="81">
        <v>0</v>
      </c>
      <c r="AQ434" s="81"/>
      <c r="AR434" s="81"/>
      <c r="AS434" s="81" t="s">
        <v>3378</v>
      </c>
      <c r="AT434" s="86" t="str">
        <f>HYPERLINK("https://www.youtube.com/channel/UCnpdZOZW815SaU4BKlSwXhQ")</f>
        <v>https://www.youtube.com/channel/UCnpdZOZW815SaU4BKlSwXhQ</v>
      </c>
      <c r="AU434" s="81" t="str">
        <f>REPLACE(INDEX(GroupVertices[Group],MATCH("~"&amp;Vertices[[#This Row],[Vertex]],GroupVertices[Vertex],0)),1,1,"")</f>
        <v>2</v>
      </c>
      <c r="AV434" s="49"/>
      <c r="AW434" s="49"/>
      <c r="AX434" s="49"/>
      <c r="AY434" s="49"/>
      <c r="AZ434" s="49"/>
      <c r="BA434" s="49"/>
      <c r="BB434" s="117" t="s">
        <v>4093</v>
      </c>
      <c r="BC434" s="117" t="s">
        <v>4093</v>
      </c>
      <c r="BD434" s="117" t="s">
        <v>4781</v>
      </c>
      <c r="BE434" s="117" t="s">
        <v>4781</v>
      </c>
      <c r="BF434" s="2"/>
      <c r="BG434" s="3"/>
      <c r="BH434" s="3"/>
      <c r="BI434" s="3"/>
      <c r="BJ434" s="3"/>
    </row>
    <row r="435" spans="1:62" ht="15">
      <c r="A435" s="66" t="s">
        <v>624</v>
      </c>
      <c r="B435" s="67"/>
      <c r="C435" s="67"/>
      <c r="D435" s="68">
        <v>50</v>
      </c>
      <c r="E435" s="70"/>
      <c r="F435" s="105" t="str">
        <f>HYPERLINK("https://yt3.ggpht.com/ytc/AIf8zZTFQxxWclwOKHJSkdRTAw7x2S6O70zi6rghj5Gl9A=s88-c-k-c0x00ffffff-no-rj")</f>
        <v>https://yt3.ggpht.com/ytc/AIf8zZTFQxxWclwOKHJSkdRTAw7x2S6O70zi6rghj5Gl9A=s88-c-k-c0x00ffffff-no-rj</v>
      </c>
      <c r="G435" s="67"/>
      <c r="H435" s="71" t="s">
        <v>2857</v>
      </c>
      <c r="I435" s="72"/>
      <c r="J435" s="72" t="s">
        <v>159</v>
      </c>
      <c r="K435" s="71" t="s">
        <v>2857</v>
      </c>
      <c r="L435" s="75">
        <v>1</v>
      </c>
      <c r="M435" s="76">
        <v>1235.96044921875</v>
      </c>
      <c r="N435" s="76">
        <v>2243.01806640625</v>
      </c>
      <c r="O435" s="77"/>
      <c r="P435" s="78"/>
      <c r="Q435" s="78"/>
      <c r="R435" s="90"/>
      <c r="S435" s="49">
        <v>0</v>
      </c>
      <c r="T435" s="49">
        <v>1</v>
      </c>
      <c r="U435" s="50">
        <v>0</v>
      </c>
      <c r="V435" s="50">
        <v>0.220416</v>
      </c>
      <c r="W435" s="51"/>
      <c r="X435" s="51"/>
      <c r="Y435" s="51"/>
      <c r="Z435" s="50"/>
      <c r="AA435" s="73">
        <v>435</v>
      </c>
      <c r="AB435" s="73"/>
      <c r="AC435" s="74"/>
      <c r="AD435" s="81" t="s">
        <v>2857</v>
      </c>
      <c r="AE435" s="81"/>
      <c r="AF435" s="81"/>
      <c r="AG435" s="81"/>
      <c r="AH435" s="81"/>
      <c r="AI435" s="81" t="s">
        <v>2090</v>
      </c>
      <c r="AJ435" s="88">
        <v>40859.975636574076</v>
      </c>
      <c r="AK435" s="86" t="str">
        <f>HYPERLINK("https://yt3.ggpht.com/ytc/AIf8zZTFQxxWclwOKHJSkdRTAw7x2S6O70zi6rghj5Gl9A=s88-c-k-c0x00ffffff-no-rj")</f>
        <v>https://yt3.ggpht.com/ytc/AIf8zZTFQxxWclwOKHJSkdRTAw7x2S6O70zi6rghj5Gl9A=s88-c-k-c0x00ffffff-no-rj</v>
      </c>
      <c r="AL435" s="81">
        <v>0</v>
      </c>
      <c r="AM435" s="81">
        <v>0</v>
      </c>
      <c r="AN435" s="81">
        <v>5</v>
      </c>
      <c r="AO435" s="81" t="b">
        <v>0</v>
      </c>
      <c r="AP435" s="81">
        <v>0</v>
      </c>
      <c r="AQ435" s="81"/>
      <c r="AR435" s="81"/>
      <c r="AS435" s="81" t="s">
        <v>3378</v>
      </c>
      <c r="AT435" s="86" t="str">
        <f>HYPERLINK("https://www.youtube.com/channel/UCa0r7tFlfbWnvSRd2RiZ6cw")</f>
        <v>https://www.youtube.com/channel/UCa0r7tFlfbWnvSRd2RiZ6cw</v>
      </c>
      <c r="AU435" s="81" t="str">
        <f>REPLACE(INDEX(GroupVertices[Group],MATCH("~"&amp;Vertices[[#This Row],[Vertex]],GroupVertices[Vertex],0)),1,1,"")</f>
        <v>2</v>
      </c>
      <c r="AV435" s="49"/>
      <c r="AW435" s="49"/>
      <c r="AX435" s="49"/>
      <c r="AY435" s="49"/>
      <c r="AZ435" s="49"/>
      <c r="BA435" s="49"/>
      <c r="BB435" s="117" t="s">
        <v>4094</v>
      </c>
      <c r="BC435" s="117" t="s">
        <v>4094</v>
      </c>
      <c r="BD435" s="117" t="s">
        <v>4782</v>
      </c>
      <c r="BE435" s="117" t="s">
        <v>4782</v>
      </c>
      <c r="BF435" s="2"/>
      <c r="BG435" s="3"/>
      <c r="BH435" s="3"/>
      <c r="BI435" s="3"/>
      <c r="BJ435" s="3"/>
    </row>
    <row r="436" spans="1:62" ht="15">
      <c r="A436" s="66" t="s">
        <v>625</v>
      </c>
      <c r="B436" s="67"/>
      <c r="C436" s="67"/>
      <c r="D436" s="68">
        <v>50</v>
      </c>
      <c r="E436" s="70"/>
      <c r="F436" s="105" t="str">
        <f>HYPERLINK("https://yt3.ggpht.com/ytc/AIf8zZSPxfJHm6RGbu8TbTqqP8CVqxvju5t-ZVqW8bDdKg=s88-c-k-c0x00ffffff-no-rj")</f>
        <v>https://yt3.ggpht.com/ytc/AIf8zZSPxfJHm6RGbu8TbTqqP8CVqxvju5t-ZVqW8bDdKg=s88-c-k-c0x00ffffff-no-rj</v>
      </c>
      <c r="G436" s="67"/>
      <c r="H436" s="71" t="s">
        <v>2858</v>
      </c>
      <c r="I436" s="72"/>
      <c r="J436" s="72" t="s">
        <v>159</v>
      </c>
      <c r="K436" s="71" t="s">
        <v>2858</v>
      </c>
      <c r="L436" s="75">
        <v>1</v>
      </c>
      <c r="M436" s="76">
        <v>392.2093200683594</v>
      </c>
      <c r="N436" s="76">
        <v>2826.37548828125</v>
      </c>
      <c r="O436" s="77"/>
      <c r="P436" s="78"/>
      <c r="Q436" s="78"/>
      <c r="R436" s="90"/>
      <c r="S436" s="49">
        <v>0</v>
      </c>
      <c r="T436" s="49">
        <v>1</v>
      </c>
      <c r="U436" s="50">
        <v>0</v>
      </c>
      <c r="V436" s="50">
        <v>0.220416</v>
      </c>
      <c r="W436" s="51"/>
      <c r="X436" s="51"/>
      <c r="Y436" s="51"/>
      <c r="Z436" s="50"/>
      <c r="AA436" s="73">
        <v>436</v>
      </c>
      <c r="AB436" s="73"/>
      <c r="AC436" s="74"/>
      <c r="AD436" s="81" t="s">
        <v>2858</v>
      </c>
      <c r="AE436" s="81"/>
      <c r="AF436" s="81"/>
      <c r="AG436" s="81"/>
      <c r="AH436" s="81"/>
      <c r="AI436" s="81" t="s">
        <v>3318</v>
      </c>
      <c r="AJ436" s="88">
        <v>40824.02116898148</v>
      </c>
      <c r="AK436" s="86" t="str">
        <f>HYPERLINK("https://yt3.ggpht.com/ytc/AIf8zZSPxfJHm6RGbu8TbTqqP8CVqxvju5t-ZVqW8bDdKg=s88-c-k-c0x00ffffff-no-rj")</f>
        <v>https://yt3.ggpht.com/ytc/AIf8zZSPxfJHm6RGbu8TbTqqP8CVqxvju5t-ZVqW8bDdKg=s88-c-k-c0x00ffffff-no-rj</v>
      </c>
      <c r="AL436" s="81">
        <v>0</v>
      </c>
      <c r="AM436" s="81">
        <v>0</v>
      </c>
      <c r="AN436" s="81">
        <v>2</v>
      </c>
      <c r="AO436" s="81" t="b">
        <v>0</v>
      </c>
      <c r="AP436" s="81">
        <v>0</v>
      </c>
      <c r="AQ436" s="81"/>
      <c r="AR436" s="81"/>
      <c r="AS436" s="81" t="s">
        <v>3378</v>
      </c>
      <c r="AT436" s="86" t="str">
        <f>HYPERLINK("https://www.youtube.com/channel/UCS0RJzz88eKNLiR6WE21Qvw")</f>
        <v>https://www.youtube.com/channel/UCS0RJzz88eKNLiR6WE21Qvw</v>
      </c>
      <c r="AU436" s="81" t="str">
        <f>REPLACE(INDEX(GroupVertices[Group],MATCH("~"&amp;Vertices[[#This Row],[Vertex]],GroupVertices[Vertex],0)),1,1,"")</f>
        <v>2</v>
      </c>
      <c r="AV436" s="49"/>
      <c r="AW436" s="49"/>
      <c r="AX436" s="49"/>
      <c r="AY436" s="49"/>
      <c r="AZ436" s="49"/>
      <c r="BA436" s="49"/>
      <c r="BB436" s="117" t="s">
        <v>4095</v>
      </c>
      <c r="BC436" s="117" t="s">
        <v>4095</v>
      </c>
      <c r="BD436" s="117" t="s">
        <v>4783</v>
      </c>
      <c r="BE436" s="117" t="s">
        <v>4783</v>
      </c>
      <c r="BF436" s="2"/>
      <c r="BG436" s="3"/>
      <c r="BH436" s="3"/>
      <c r="BI436" s="3"/>
      <c r="BJ436" s="3"/>
    </row>
    <row r="437" spans="1:62" ht="15">
      <c r="A437" s="66" t="s">
        <v>626</v>
      </c>
      <c r="B437" s="67"/>
      <c r="C437" s="67"/>
      <c r="D437" s="68">
        <v>50</v>
      </c>
      <c r="E437" s="70"/>
      <c r="F437" s="105" t="str">
        <f>HYPERLINK("https://yt3.ggpht.com/ytc/AIf8zZRjfs9VWFdFtf9gWR5qZNQPJNP7v4_-3-helI2S=s88-c-k-c0x00ffffff-no-rj")</f>
        <v>https://yt3.ggpht.com/ytc/AIf8zZRjfs9VWFdFtf9gWR5qZNQPJNP7v4_-3-helI2S=s88-c-k-c0x00ffffff-no-rj</v>
      </c>
      <c r="G437" s="67"/>
      <c r="H437" s="71" t="s">
        <v>2859</v>
      </c>
      <c r="I437" s="72"/>
      <c r="J437" s="72" t="s">
        <v>159</v>
      </c>
      <c r="K437" s="71" t="s">
        <v>2859</v>
      </c>
      <c r="L437" s="75">
        <v>1</v>
      </c>
      <c r="M437" s="76">
        <v>1080.65966796875</v>
      </c>
      <c r="N437" s="76">
        <v>3018.520751953125</v>
      </c>
      <c r="O437" s="77"/>
      <c r="P437" s="78"/>
      <c r="Q437" s="78"/>
      <c r="R437" s="90"/>
      <c r="S437" s="49">
        <v>0</v>
      </c>
      <c r="T437" s="49">
        <v>1</v>
      </c>
      <c r="U437" s="50">
        <v>0</v>
      </c>
      <c r="V437" s="50">
        <v>0.220416</v>
      </c>
      <c r="W437" s="51"/>
      <c r="X437" s="51"/>
      <c r="Y437" s="51"/>
      <c r="Z437" s="50"/>
      <c r="AA437" s="73">
        <v>437</v>
      </c>
      <c r="AB437" s="73"/>
      <c r="AC437" s="74"/>
      <c r="AD437" s="81" t="s">
        <v>2859</v>
      </c>
      <c r="AE437" s="81"/>
      <c r="AF437" s="81"/>
      <c r="AG437" s="81"/>
      <c r="AH437" s="81"/>
      <c r="AI437" s="81" t="s">
        <v>2092</v>
      </c>
      <c r="AJ437" s="88">
        <v>42058.09584490741</v>
      </c>
      <c r="AK437" s="86" t="str">
        <f>HYPERLINK("https://yt3.ggpht.com/ytc/AIf8zZRjfs9VWFdFtf9gWR5qZNQPJNP7v4_-3-helI2S=s88-c-k-c0x00ffffff-no-rj")</f>
        <v>https://yt3.ggpht.com/ytc/AIf8zZRjfs9VWFdFtf9gWR5qZNQPJNP7v4_-3-helI2S=s88-c-k-c0x00ffffff-no-rj</v>
      </c>
      <c r="AL437" s="81">
        <v>0</v>
      </c>
      <c r="AM437" s="81">
        <v>0</v>
      </c>
      <c r="AN437" s="81">
        <v>1</v>
      </c>
      <c r="AO437" s="81" t="b">
        <v>0</v>
      </c>
      <c r="AP437" s="81">
        <v>0</v>
      </c>
      <c r="AQ437" s="81"/>
      <c r="AR437" s="81"/>
      <c r="AS437" s="81" t="s">
        <v>3378</v>
      </c>
      <c r="AT437" s="86" t="str">
        <f>HYPERLINK("https://www.youtube.com/channel/UCSRhOpdGhuZD14fGj6l-XhQ")</f>
        <v>https://www.youtube.com/channel/UCSRhOpdGhuZD14fGj6l-XhQ</v>
      </c>
      <c r="AU437" s="81" t="str">
        <f>REPLACE(INDEX(GroupVertices[Group],MATCH("~"&amp;Vertices[[#This Row],[Vertex]],GroupVertices[Vertex],0)),1,1,"")</f>
        <v>2</v>
      </c>
      <c r="AV437" s="49"/>
      <c r="AW437" s="49"/>
      <c r="AX437" s="49"/>
      <c r="AY437" s="49"/>
      <c r="AZ437" s="49"/>
      <c r="BA437" s="49"/>
      <c r="BB437" s="117" t="s">
        <v>4096</v>
      </c>
      <c r="BC437" s="117" t="s">
        <v>4096</v>
      </c>
      <c r="BD437" s="117" t="s">
        <v>4784</v>
      </c>
      <c r="BE437" s="117" t="s">
        <v>4784</v>
      </c>
      <c r="BF437" s="2"/>
      <c r="BG437" s="3"/>
      <c r="BH437" s="3"/>
      <c r="BI437" s="3"/>
      <c r="BJ437" s="3"/>
    </row>
    <row r="438" spans="1:62" ht="15">
      <c r="A438" s="66" t="s">
        <v>627</v>
      </c>
      <c r="B438" s="67"/>
      <c r="C438" s="67"/>
      <c r="D438" s="68">
        <v>50</v>
      </c>
      <c r="E438" s="70"/>
      <c r="F438" s="105" t="str">
        <f>HYPERLINK("https://yt3.ggpht.com/ytc/AIf8zZS82OQJHhh0anrfsKUs8NMB9lbXmjU23dzEYDXaOA=s88-c-k-c0x00ffffff-no-rj")</f>
        <v>https://yt3.ggpht.com/ytc/AIf8zZS82OQJHhh0anrfsKUs8NMB9lbXmjU23dzEYDXaOA=s88-c-k-c0x00ffffff-no-rj</v>
      </c>
      <c r="G438" s="67"/>
      <c r="H438" s="71" t="s">
        <v>2860</v>
      </c>
      <c r="I438" s="72"/>
      <c r="J438" s="72" t="s">
        <v>159</v>
      </c>
      <c r="K438" s="71" t="s">
        <v>2860</v>
      </c>
      <c r="L438" s="75">
        <v>1</v>
      </c>
      <c r="M438" s="76">
        <v>1391.2625732421875</v>
      </c>
      <c r="N438" s="76">
        <v>472.77978515625</v>
      </c>
      <c r="O438" s="77"/>
      <c r="P438" s="78"/>
      <c r="Q438" s="78"/>
      <c r="R438" s="90"/>
      <c r="S438" s="49">
        <v>0</v>
      </c>
      <c r="T438" s="49">
        <v>1</v>
      </c>
      <c r="U438" s="50">
        <v>0</v>
      </c>
      <c r="V438" s="50">
        <v>0.220416</v>
      </c>
      <c r="W438" s="51"/>
      <c r="X438" s="51"/>
      <c r="Y438" s="51"/>
      <c r="Z438" s="50"/>
      <c r="AA438" s="73">
        <v>438</v>
      </c>
      <c r="AB438" s="73"/>
      <c r="AC438" s="74"/>
      <c r="AD438" s="81" t="s">
        <v>2860</v>
      </c>
      <c r="AE438" s="81"/>
      <c r="AF438" s="81"/>
      <c r="AG438" s="81"/>
      <c r="AH438" s="81"/>
      <c r="AI438" s="81" t="s">
        <v>2093</v>
      </c>
      <c r="AJ438" s="88">
        <v>40674.156018518515</v>
      </c>
      <c r="AK438" s="86" t="str">
        <f>HYPERLINK("https://yt3.ggpht.com/ytc/AIf8zZS82OQJHhh0anrfsKUs8NMB9lbXmjU23dzEYDXaOA=s88-c-k-c0x00ffffff-no-rj")</f>
        <v>https://yt3.ggpht.com/ytc/AIf8zZS82OQJHhh0anrfsKUs8NMB9lbXmjU23dzEYDXaOA=s88-c-k-c0x00ffffff-no-rj</v>
      </c>
      <c r="AL438" s="81">
        <v>0</v>
      </c>
      <c r="AM438" s="81">
        <v>0</v>
      </c>
      <c r="AN438" s="81">
        <v>0</v>
      </c>
      <c r="AO438" s="81" t="b">
        <v>0</v>
      </c>
      <c r="AP438" s="81">
        <v>0</v>
      </c>
      <c r="AQ438" s="81"/>
      <c r="AR438" s="81"/>
      <c r="AS438" s="81" t="s">
        <v>3378</v>
      </c>
      <c r="AT438" s="86" t="str">
        <f>HYPERLINK("https://www.youtube.com/channel/UC4wZ20awGSRVJZCkQZ9UP3g")</f>
        <v>https://www.youtube.com/channel/UC4wZ20awGSRVJZCkQZ9UP3g</v>
      </c>
      <c r="AU438" s="81" t="str">
        <f>REPLACE(INDEX(GroupVertices[Group],MATCH("~"&amp;Vertices[[#This Row],[Vertex]],GroupVertices[Vertex],0)),1,1,"")</f>
        <v>2</v>
      </c>
      <c r="AV438" s="49"/>
      <c r="AW438" s="49"/>
      <c r="AX438" s="49"/>
      <c r="AY438" s="49"/>
      <c r="AZ438" s="49"/>
      <c r="BA438" s="49"/>
      <c r="BB438" s="117" t="s">
        <v>4097</v>
      </c>
      <c r="BC438" s="117" t="s">
        <v>4097</v>
      </c>
      <c r="BD438" s="117" t="s">
        <v>4785</v>
      </c>
      <c r="BE438" s="117" t="s">
        <v>4785</v>
      </c>
      <c r="BF438" s="2"/>
      <c r="BG438" s="3"/>
      <c r="BH438" s="3"/>
      <c r="BI438" s="3"/>
      <c r="BJ438" s="3"/>
    </row>
    <row r="439" spans="1:62" ht="15">
      <c r="A439" s="66" t="s">
        <v>628</v>
      </c>
      <c r="B439" s="67"/>
      <c r="C439" s="67"/>
      <c r="D439" s="68">
        <v>50</v>
      </c>
      <c r="E439" s="70"/>
      <c r="F439" s="105" t="str">
        <f>HYPERLINK("https://yt3.ggpht.com/ytc/AIf8zZSDv1jlFs315w9yKRUWRAVCRBrYXkj4GtHXVt9agO9bMA=s88-c-k-c0x00ffffff-no-rj")</f>
        <v>https://yt3.ggpht.com/ytc/AIf8zZSDv1jlFs315w9yKRUWRAVCRBrYXkj4GtHXVt9agO9bMA=s88-c-k-c0x00ffffff-no-rj</v>
      </c>
      <c r="G439" s="67"/>
      <c r="H439" s="71"/>
      <c r="I439" s="72"/>
      <c r="J439" s="72" t="s">
        <v>159</v>
      </c>
      <c r="K439" s="71"/>
      <c r="L439" s="75">
        <v>1</v>
      </c>
      <c r="M439" s="76">
        <v>1529.3525390625</v>
      </c>
      <c r="N439" s="76">
        <v>779.6712646484375</v>
      </c>
      <c r="O439" s="77"/>
      <c r="P439" s="78"/>
      <c r="Q439" s="78"/>
      <c r="R439" s="90"/>
      <c r="S439" s="49">
        <v>0</v>
      </c>
      <c r="T439" s="49">
        <v>1</v>
      </c>
      <c r="U439" s="50">
        <v>0</v>
      </c>
      <c r="V439" s="50">
        <v>0.220416</v>
      </c>
      <c r="W439" s="51"/>
      <c r="X439" s="51"/>
      <c r="Y439" s="51"/>
      <c r="Z439" s="50"/>
      <c r="AA439" s="73">
        <v>439</v>
      </c>
      <c r="AB439" s="73"/>
      <c r="AC439" s="74"/>
      <c r="AD439" s="81"/>
      <c r="AE439" s="81"/>
      <c r="AF439" s="81"/>
      <c r="AG439" s="81"/>
      <c r="AH439" s="81"/>
      <c r="AI439" s="81" t="s">
        <v>2094</v>
      </c>
      <c r="AJ439" s="88">
        <v>42194.15262731481</v>
      </c>
      <c r="AK439" s="86" t="str">
        <f>HYPERLINK("https://yt3.ggpht.com/ytc/AIf8zZSDv1jlFs315w9yKRUWRAVCRBrYXkj4GtHXVt9agO9bMA=s88-c-k-c0x00ffffff-no-rj")</f>
        <v>https://yt3.ggpht.com/ytc/AIf8zZSDv1jlFs315w9yKRUWRAVCRBrYXkj4GtHXVt9agO9bMA=s88-c-k-c0x00ffffff-no-rj</v>
      </c>
      <c r="AL439" s="81">
        <v>0</v>
      </c>
      <c r="AM439" s="81">
        <v>0</v>
      </c>
      <c r="AN439" s="81">
        <v>2</v>
      </c>
      <c r="AO439" s="81" t="b">
        <v>0</v>
      </c>
      <c r="AP439" s="81">
        <v>0</v>
      </c>
      <c r="AQ439" s="81"/>
      <c r="AR439" s="81"/>
      <c r="AS439" s="81" t="s">
        <v>3378</v>
      </c>
      <c r="AT439" s="86" t="str">
        <f>HYPERLINK("https://www.youtube.com/channel/UCT22z_uh53YLOXKgyLeM8rw")</f>
        <v>https://www.youtube.com/channel/UCT22z_uh53YLOXKgyLeM8rw</v>
      </c>
      <c r="AU439" s="81" t="str">
        <f>REPLACE(INDEX(GroupVertices[Group],MATCH("~"&amp;Vertices[[#This Row],[Vertex]],GroupVertices[Vertex],0)),1,1,"")</f>
        <v>2</v>
      </c>
      <c r="AV439" s="49"/>
      <c r="AW439" s="49"/>
      <c r="AX439" s="49"/>
      <c r="AY439" s="49"/>
      <c r="AZ439" s="49"/>
      <c r="BA439" s="49"/>
      <c r="BB439" s="117" t="s">
        <v>4098</v>
      </c>
      <c r="BC439" s="117" t="s">
        <v>4098</v>
      </c>
      <c r="BD439" s="117" t="s">
        <v>4786</v>
      </c>
      <c r="BE439" s="117" t="s">
        <v>4786</v>
      </c>
      <c r="BF439" s="2"/>
      <c r="BG439" s="3"/>
      <c r="BH439" s="3"/>
      <c r="BI439" s="3"/>
      <c r="BJ439" s="3"/>
    </row>
    <row r="440" spans="1:62" ht="15">
      <c r="A440" s="66" t="s">
        <v>629</v>
      </c>
      <c r="B440" s="67"/>
      <c r="C440" s="67"/>
      <c r="D440" s="68">
        <v>50</v>
      </c>
      <c r="E440" s="70"/>
      <c r="F440" s="105" t="str">
        <f>HYPERLINK("https://yt3.ggpht.com/ytc/AIf8zZSVQusst8CxuygrvMjQiLWfdx67taSJ87DEfw=s88-c-k-c0x00ffffff-no-rj")</f>
        <v>https://yt3.ggpht.com/ytc/AIf8zZSVQusst8CxuygrvMjQiLWfdx67taSJ87DEfw=s88-c-k-c0x00ffffff-no-rj</v>
      </c>
      <c r="G440" s="67"/>
      <c r="H440" s="71" t="s">
        <v>2861</v>
      </c>
      <c r="I440" s="72"/>
      <c r="J440" s="72" t="s">
        <v>159</v>
      </c>
      <c r="K440" s="71" t="s">
        <v>2861</v>
      </c>
      <c r="L440" s="75">
        <v>1</v>
      </c>
      <c r="M440" s="76">
        <v>827.6493530273438</v>
      </c>
      <c r="N440" s="76">
        <v>1367.3382568359375</v>
      </c>
      <c r="O440" s="77"/>
      <c r="P440" s="78"/>
      <c r="Q440" s="78"/>
      <c r="R440" s="90"/>
      <c r="S440" s="49">
        <v>0</v>
      </c>
      <c r="T440" s="49">
        <v>1</v>
      </c>
      <c r="U440" s="50">
        <v>0</v>
      </c>
      <c r="V440" s="50">
        <v>0.220416</v>
      </c>
      <c r="W440" s="51"/>
      <c r="X440" s="51"/>
      <c r="Y440" s="51"/>
      <c r="Z440" s="50"/>
      <c r="AA440" s="73">
        <v>440</v>
      </c>
      <c r="AB440" s="73"/>
      <c r="AC440" s="74"/>
      <c r="AD440" s="81" t="s">
        <v>2861</v>
      </c>
      <c r="AE440" s="81"/>
      <c r="AF440" s="81"/>
      <c r="AG440" s="81"/>
      <c r="AH440" s="81"/>
      <c r="AI440" s="81" t="s">
        <v>2095</v>
      </c>
      <c r="AJ440" s="88">
        <v>41543.13505787037</v>
      </c>
      <c r="AK440" s="86" t="str">
        <f>HYPERLINK("https://yt3.ggpht.com/ytc/AIf8zZSVQusst8CxuygrvMjQiLWfdx67taSJ87DEfw=s88-c-k-c0x00ffffff-no-rj")</f>
        <v>https://yt3.ggpht.com/ytc/AIf8zZSVQusst8CxuygrvMjQiLWfdx67taSJ87DEfw=s88-c-k-c0x00ffffff-no-rj</v>
      </c>
      <c r="AL440" s="81">
        <v>0</v>
      </c>
      <c r="AM440" s="81">
        <v>0</v>
      </c>
      <c r="AN440" s="81">
        <v>0</v>
      </c>
      <c r="AO440" s="81" t="b">
        <v>0</v>
      </c>
      <c r="AP440" s="81">
        <v>0</v>
      </c>
      <c r="AQ440" s="81"/>
      <c r="AR440" s="81"/>
      <c r="AS440" s="81" t="s">
        <v>3378</v>
      </c>
      <c r="AT440" s="86" t="str">
        <f>HYPERLINK("https://www.youtube.com/channel/UC21EX62-Ofs2gg9aG5v7E7w")</f>
        <v>https://www.youtube.com/channel/UC21EX62-Ofs2gg9aG5v7E7w</v>
      </c>
      <c r="AU440" s="81" t="str">
        <f>REPLACE(INDEX(GroupVertices[Group],MATCH("~"&amp;Vertices[[#This Row],[Vertex]],GroupVertices[Vertex],0)),1,1,"")</f>
        <v>2</v>
      </c>
      <c r="AV440" s="49"/>
      <c r="AW440" s="49"/>
      <c r="AX440" s="49"/>
      <c r="AY440" s="49"/>
      <c r="AZ440" s="49"/>
      <c r="BA440" s="49"/>
      <c r="BB440" s="117" t="s">
        <v>4099</v>
      </c>
      <c r="BC440" s="117" t="s">
        <v>4099</v>
      </c>
      <c r="BD440" s="117" t="s">
        <v>4787</v>
      </c>
      <c r="BE440" s="117" t="s">
        <v>4787</v>
      </c>
      <c r="BF440" s="2"/>
      <c r="BG440" s="3"/>
      <c r="BH440" s="3"/>
      <c r="BI440" s="3"/>
      <c r="BJ440" s="3"/>
    </row>
    <row r="441" spans="1:62" ht="15">
      <c r="A441" s="66" t="s">
        <v>630</v>
      </c>
      <c r="B441" s="67"/>
      <c r="C441" s="67"/>
      <c r="D441" s="68">
        <v>50</v>
      </c>
      <c r="E441" s="70"/>
      <c r="F441" s="105" t="str">
        <f>HYPERLINK("https://yt3.ggpht.com/ytc/AIf8zZQMyQulZwt0dtpARuJ7m-M3UpEZ9ifCqvJDPP9_=s88-c-k-c0x00ffffff-no-rj")</f>
        <v>https://yt3.ggpht.com/ytc/AIf8zZQMyQulZwt0dtpARuJ7m-M3UpEZ9ifCqvJDPP9_=s88-c-k-c0x00ffffff-no-rj</v>
      </c>
      <c r="G441" s="67"/>
      <c r="H441" s="71" t="s">
        <v>2862</v>
      </c>
      <c r="I441" s="72"/>
      <c r="J441" s="72" t="s">
        <v>159</v>
      </c>
      <c r="K441" s="71" t="s">
        <v>2862</v>
      </c>
      <c r="L441" s="75">
        <v>1</v>
      </c>
      <c r="M441" s="76">
        <v>1713.1575927734375</v>
      </c>
      <c r="N441" s="76">
        <v>2292.55810546875</v>
      </c>
      <c r="O441" s="77"/>
      <c r="P441" s="78"/>
      <c r="Q441" s="78"/>
      <c r="R441" s="90"/>
      <c r="S441" s="49">
        <v>0</v>
      </c>
      <c r="T441" s="49">
        <v>1</v>
      </c>
      <c r="U441" s="50">
        <v>0</v>
      </c>
      <c r="V441" s="50">
        <v>0.220416</v>
      </c>
      <c r="W441" s="51"/>
      <c r="X441" s="51"/>
      <c r="Y441" s="51"/>
      <c r="Z441" s="50"/>
      <c r="AA441" s="73">
        <v>441</v>
      </c>
      <c r="AB441" s="73"/>
      <c r="AC441" s="74"/>
      <c r="AD441" s="81" t="s">
        <v>2862</v>
      </c>
      <c r="AE441" s="81"/>
      <c r="AF441" s="81"/>
      <c r="AG441" s="81"/>
      <c r="AH441" s="81"/>
      <c r="AI441" s="81" t="s">
        <v>2096</v>
      </c>
      <c r="AJ441" s="88">
        <v>41090.68577546296</v>
      </c>
      <c r="AK441" s="86" t="str">
        <f>HYPERLINK("https://yt3.ggpht.com/ytc/AIf8zZQMyQulZwt0dtpARuJ7m-M3UpEZ9ifCqvJDPP9_=s88-c-k-c0x00ffffff-no-rj")</f>
        <v>https://yt3.ggpht.com/ytc/AIf8zZQMyQulZwt0dtpARuJ7m-M3UpEZ9ifCqvJDPP9_=s88-c-k-c0x00ffffff-no-rj</v>
      </c>
      <c r="AL441" s="81">
        <v>0</v>
      </c>
      <c r="AM441" s="81">
        <v>0</v>
      </c>
      <c r="AN441" s="81">
        <v>4</v>
      </c>
      <c r="AO441" s="81" t="b">
        <v>0</v>
      </c>
      <c r="AP441" s="81">
        <v>0</v>
      </c>
      <c r="AQ441" s="81"/>
      <c r="AR441" s="81"/>
      <c r="AS441" s="81" t="s">
        <v>3378</v>
      </c>
      <c r="AT441" s="86" t="str">
        <f>HYPERLINK("https://www.youtube.com/channel/UCT_iKNxU_yjtVrY1GT8ioWA")</f>
        <v>https://www.youtube.com/channel/UCT_iKNxU_yjtVrY1GT8ioWA</v>
      </c>
      <c r="AU441" s="81" t="str">
        <f>REPLACE(INDEX(GroupVertices[Group],MATCH("~"&amp;Vertices[[#This Row],[Vertex]],GroupVertices[Vertex],0)),1,1,"")</f>
        <v>2</v>
      </c>
      <c r="AV441" s="49"/>
      <c r="AW441" s="49"/>
      <c r="AX441" s="49"/>
      <c r="AY441" s="49"/>
      <c r="AZ441" s="49"/>
      <c r="BA441" s="49"/>
      <c r="BB441" s="117" t="s">
        <v>4100</v>
      </c>
      <c r="BC441" s="117" t="s">
        <v>4100</v>
      </c>
      <c r="BD441" s="117" t="s">
        <v>4788</v>
      </c>
      <c r="BE441" s="117" t="s">
        <v>4788</v>
      </c>
      <c r="BF441" s="2"/>
      <c r="BG441" s="3"/>
      <c r="BH441" s="3"/>
      <c r="BI441" s="3"/>
      <c r="BJ441" s="3"/>
    </row>
    <row r="442" spans="1:62" ht="15">
      <c r="A442" s="66" t="s">
        <v>631</v>
      </c>
      <c r="B442" s="67"/>
      <c r="C442" s="67"/>
      <c r="D442" s="68">
        <v>50</v>
      </c>
      <c r="E442" s="70"/>
      <c r="F442" s="105" t="str">
        <f>HYPERLINK("https://yt3.ggpht.com/ytc/AIf8zZQNOVJJRsw00xaS2fFXHTHOPDxq4mdd2Q5lUV0foQ=s88-c-k-c0x00ffffff-no-rj")</f>
        <v>https://yt3.ggpht.com/ytc/AIf8zZQNOVJJRsw00xaS2fFXHTHOPDxq4mdd2Q5lUV0foQ=s88-c-k-c0x00ffffff-no-rj</v>
      </c>
      <c r="G442" s="67"/>
      <c r="H442" s="71" t="s">
        <v>2863</v>
      </c>
      <c r="I442" s="72"/>
      <c r="J442" s="72" t="s">
        <v>159</v>
      </c>
      <c r="K442" s="71" t="s">
        <v>2863</v>
      </c>
      <c r="L442" s="75">
        <v>1</v>
      </c>
      <c r="M442" s="76">
        <v>106.14649963378906</v>
      </c>
      <c r="N442" s="76">
        <v>2052.4794921875</v>
      </c>
      <c r="O442" s="77"/>
      <c r="P442" s="78"/>
      <c r="Q442" s="78"/>
      <c r="R442" s="90"/>
      <c r="S442" s="49">
        <v>0</v>
      </c>
      <c r="T442" s="49">
        <v>1</v>
      </c>
      <c r="U442" s="50">
        <v>0</v>
      </c>
      <c r="V442" s="50">
        <v>0.220416</v>
      </c>
      <c r="W442" s="51"/>
      <c r="X442" s="51"/>
      <c r="Y442" s="51"/>
      <c r="Z442" s="50"/>
      <c r="AA442" s="73">
        <v>442</v>
      </c>
      <c r="AB442" s="73"/>
      <c r="AC442" s="74"/>
      <c r="AD442" s="81" t="s">
        <v>2863</v>
      </c>
      <c r="AE442" s="81"/>
      <c r="AF442" s="81"/>
      <c r="AG442" s="81"/>
      <c r="AH442" s="81"/>
      <c r="AI442" s="81" t="s">
        <v>2097</v>
      </c>
      <c r="AJ442" s="88">
        <v>40855.383055555554</v>
      </c>
      <c r="AK442" s="86" t="str">
        <f>HYPERLINK("https://yt3.ggpht.com/ytc/AIf8zZQNOVJJRsw00xaS2fFXHTHOPDxq4mdd2Q5lUV0foQ=s88-c-k-c0x00ffffff-no-rj")</f>
        <v>https://yt3.ggpht.com/ytc/AIf8zZQNOVJJRsw00xaS2fFXHTHOPDxq4mdd2Q5lUV0foQ=s88-c-k-c0x00ffffff-no-rj</v>
      </c>
      <c r="AL442" s="81">
        <v>28</v>
      </c>
      <c r="AM442" s="81">
        <v>0</v>
      </c>
      <c r="AN442" s="81">
        <v>0</v>
      </c>
      <c r="AO442" s="81" t="b">
        <v>0</v>
      </c>
      <c r="AP442" s="81">
        <v>3</v>
      </c>
      <c r="AQ442" s="81"/>
      <c r="AR442" s="81"/>
      <c r="AS442" s="81" t="s">
        <v>3378</v>
      </c>
      <c r="AT442" s="86" t="str">
        <f>HYPERLINK("https://www.youtube.com/channel/UC56xesm00-ZR26cn8HZJjjg")</f>
        <v>https://www.youtube.com/channel/UC56xesm00-ZR26cn8HZJjjg</v>
      </c>
      <c r="AU442" s="81" t="str">
        <f>REPLACE(INDEX(GroupVertices[Group],MATCH("~"&amp;Vertices[[#This Row],[Vertex]],GroupVertices[Vertex],0)),1,1,"")</f>
        <v>2</v>
      </c>
      <c r="AV442" s="49"/>
      <c r="AW442" s="49"/>
      <c r="AX442" s="49"/>
      <c r="AY442" s="49"/>
      <c r="AZ442" s="49"/>
      <c r="BA442" s="49"/>
      <c r="BB442" s="117" t="s">
        <v>4101</v>
      </c>
      <c r="BC442" s="117" t="s">
        <v>4101</v>
      </c>
      <c r="BD442" s="117" t="s">
        <v>4789</v>
      </c>
      <c r="BE442" s="117" t="s">
        <v>4789</v>
      </c>
      <c r="BF442" s="2"/>
      <c r="BG442" s="3"/>
      <c r="BH442" s="3"/>
      <c r="BI442" s="3"/>
      <c r="BJ442" s="3"/>
    </row>
    <row r="443" spans="1:62" ht="15">
      <c r="A443" s="66" t="s">
        <v>632</v>
      </c>
      <c r="B443" s="67"/>
      <c r="C443" s="67"/>
      <c r="D443" s="68">
        <v>50</v>
      </c>
      <c r="E443" s="70"/>
      <c r="F443" s="105" t="str">
        <f>HYPERLINK("https://yt3.ggpht.com/ytc/AIf8zZQQosG1Fkdz8g7Tsscg47itVhiEPLfzRm7oL0NoaQ=s88-c-k-c0x00ffffff-no-rj")</f>
        <v>https://yt3.ggpht.com/ytc/AIf8zZQQosG1Fkdz8g7Tsscg47itVhiEPLfzRm7oL0NoaQ=s88-c-k-c0x00ffffff-no-rj</v>
      </c>
      <c r="G443" s="67"/>
      <c r="H443" s="71" t="s">
        <v>2864</v>
      </c>
      <c r="I443" s="72"/>
      <c r="J443" s="72" t="s">
        <v>159</v>
      </c>
      <c r="K443" s="71" t="s">
        <v>2864</v>
      </c>
      <c r="L443" s="75">
        <v>1</v>
      </c>
      <c r="M443" s="76">
        <v>2025.3251953125</v>
      </c>
      <c r="N443" s="76">
        <v>2551.920654296875</v>
      </c>
      <c r="O443" s="77"/>
      <c r="P443" s="78"/>
      <c r="Q443" s="78"/>
      <c r="R443" s="90"/>
      <c r="S443" s="49">
        <v>0</v>
      </c>
      <c r="T443" s="49">
        <v>1</v>
      </c>
      <c r="U443" s="50">
        <v>0</v>
      </c>
      <c r="V443" s="50">
        <v>0.220416</v>
      </c>
      <c r="W443" s="51"/>
      <c r="X443" s="51"/>
      <c r="Y443" s="51"/>
      <c r="Z443" s="50"/>
      <c r="AA443" s="73">
        <v>443</v>
      </c>
      <c r="AB443" s="73"/>
      <c r="AC443" s="74"/>
      <c r="AD443" s="81" t="s">
        <v>2864</v>
      </c>
      <c r="AE443" s="81"/>
      <c r="AF443" s="81"/>
      <c r="AG443" s="81"/>
      <c r="AH443" s="81"/>
      <c r="AI443" s="81" t="s">
        <v>2098</v>
      </c>
      <c r="AJ443" s="88">
        <v>40518.656481481485</v>
      </c>
      <c r="AK443" s="86" t="str">
        <f>HYPERLINK("https://yt3.ggpht.com/ytc/AIf8zZQQosG1Fkdz8g7Tsscg47itVhiEPLfzRm7oL0NoaQ=s88-c-k-c0x00ffffff-no-rj")</f>
        <v>https://yt3.ggpht.com/ytc/AIf8zZQQosG1Fkdz8g7Tsscg47itVhiEPLfzRm7oL0NoaQ=s88-c-k-c0x00ffffff-no-rj</v>
      </c>
      <c r="AL443" s="81">
        <v>23</v>
      </c>
      <c r="AM443" s="81">
        <v>0</v>
      </c>
      <c r="AN443" s="81">
        <v>0</v>
      </c>
      <c r="AO443" s="81" t="b">
        <v>0</v>
      </c>
      <c r="AP443" s="81">
        <v>1</v>
      </c>
      <c r="AQ443" s="81"/>
      <c r="AR443" s="81"/>
      <c r="AS443" s="81" t="s">
        <v>3378</v>
      </c>
      <c r="AT443" s="86" t="str">
        <f>HYPERLINK("https://www.youtube.com/channel/UC49ES6lI9ZMGHCA-Vvvp2Kw")</f>
        <v>https://www.youtube.com/channel/UC49ES6lI9ZMGHCA-Vvvp2Kw</v>
      </c>
      <c r="AU443" s="81" t="str">
        <f>REPLACE(INDEX(GroupVertices[Group],MATCH("~"&amp;Vertices[[#This Row],[Vertex]],GroupVertices[Vertex],0)),1,1,"")</f>
        <v>2</v>
      </c>
      <c r="AV443" s="49"/>
      <c r="AW443" s="49"/>
      <c r="AX443" s="49"/>
      <c r="AY443" s="49"/>
      <c r="AZ443" s="49"/>
      <c r="BA443" s="49"/>
      <c r="BB443" s="117" t="s">
        <v>4102</v>
      </c>
      <c r="BC443" s="117" t="s">
        <v>4102</v>
      </c>
      <c r="BD443" s="117" t="s">
        <v>4790</v>
      </c>
      <c r="BE443" s="117" t="s">
        <v>4790</v>
      </c>
      <c r="BF443" s="2"/>
      <c r="BG443" s="3"/>
      <c r="BH443" s="3"/>
      <c r="BI443" s="3"/>
      <c r="BJ443" s="3"/>
    </row>
    <row r="444" spans="1:62" ht="15">
      <c r="A444" s="66" t="s">
        <v>633</v>
      </c>
      <c r="B444" s="67"/>
      <c r="C444" s="67"/>
      <c r="D444" s="68">
        <v>50</v>
      </c>
      <c r="E444" s="70"/>
      <c r="F444" s="105" t="str">
        <f>HYPERLINK("https://yt3.ggpht.com/ytc/AIf8zZT4d_jQNhCfUki4cHVBs6iP_KkQqL3ByBTzhg=s88-c-k-c0x00ffffff-no-rj")</f>
        <v>https://yt3.ggpht.com/ytc/AIf8zZT4d_jQNhCfUki4cHVBs6iP_KkQqL3ByBTzhg=s88-c-k-c0x00ffffff-no-rj</v>
      </c>
      <c r="G444" s="67"/>
      <c r="H444" s="71" t="s">
        <v>2865</v>
      </c>
      <c r="I444" s="72"/>
      <c r="J444" s="72" t="s">
        <v>159</v>
      </c>
      <c r="K444" s="71" t="s">
        <v>2865</v>
      </c>
      <c r="L444" s="75">
        <v>1</v>
      </c>
      <c r="M444" s="76">
        <v>1449.8575439453125</v>
      </c>
      <c r="N444" s="76">
        <v>1845.711181640625</v>
      </c>
      <c r="O444" s="77"/>
      <c r="P444" s="78"/>
      <c r="Q444" s="78"/>
      <c r="R444" s="90"/>
      <c r="S444" s="49">
        <v>0</v>
      </c>
      <c r="T444" s="49">
        <v>1</v>
      </c>
      <c r="U444" s="50">
        <v>0</v>
      </c>
      <c r="V444" s="50">
        <v>0.220416</v>
      </c>
      <c r="W444" s="51"/>
      <c r="X444" s="51"/>
      <c r="Y444" s="51"/>
      <c r="Z444" s="50"/>
      <c r="AA444" s="73">
        <v>444</v>
      </c>
      <c r="AB444" s="73"/>
      <c r="AC444" s="74"/>
      <c r="AD444" s="81" t="s">
        <v>2865</v>
      </c>
      <c r="AE444" s="81"/>
      <c r="AF444" s="81"/>
      <c r="AG444" s="81"/>
      <c r="AH444" s="81"/>
      <c r="AI444" s="81" t="s">
        <v>3319</v>
      </c>
      <c r="AJ444" s="88">
        <v>39114.42172453704</v>
      </c>
      <c r="AK444" s="86" t="str">
        <f>HYPERLINK("https://yt3.ggpht.com/ytc/AIf8zZT4d_jQNhCfUki4cHVBs6iP_KkQqL3ByBTzhg=s88-c-k-c0x00ffffff-no-rj")</f>
        <v>https://yt3.ggpht.com/ytc/AIf8zZT4d_jQNhCfUki4cHVBs6iP_KkQqL3ByBTzhg=s88-c-k-c0x00ffffff-no-rj</v>
      </c>
      <c r="AL444" s="81">
        <v>0</v>
      </c>
      <c r="AM444" s="81">
        <v>0</v>
      </c>
      <c r="AN444" s="81">
        <v>8</v>
      </c>
      <c r="AO444" s="81" t="b">
        <v>0</v>
      </c>
      <c r="AP444" s="81">
        <v>0</v>
      </c>
      <c r="AQ444" s="81"/>
      <c r="AR444" s="81"/>
      <c r="AS444" s="81" t="s">
        <v>3378</v>
      </c>
      <c r="AT444" s="86" t="str">
        <f>HYPERLINK("https://www.youtube.com/channel/UCQsKR3yFOTdK5IvI4MtLBRA")</f>
        <v>https://www.youtube.com/channel/UCQsKR3yFOTdK5IvI4MtLBRA</v>
      </c>
      <c r="AU444" s="81" t="str">
        <f>REPLACE(INDEX(GroupVertices[Group],MATCH("~"&amp;Vertices[[#This Row],[Vertex]],GroupVertices[Vertex],0)),1,1,"")</f>
        <v>2</v>
      </c>
      <c r="AV444" s="49"/>
      <c r="AW444" s="49"/>
      <c r="AX444" s="49"/>
      <c r="AY444" s="49"/>
      <c r="AZ444" s="49"/>
      <c r="BA444" s="49"/>
      <c r="BB444" s="117" t="s">
        <v>4103</v>
      </c>
      <c r="BC444" s="117" t="s">
        <v>4103</v>
      </c>
      <c r="BD444" s="117" t="s">
        <v>4791</v>
      </c>
      <c r="BE444" s="117" t="s">
        <v>4791</v>
      </c>
      <c r="BF444" s="2"/>
      <c r="BG444" s="3"/>
      <c r="BH444" s="3"/>
      <c r="BI444" s="3"/>
      <c r="BJ444" s="3"/>
    </row>
    <row r="445" spans="1:62" ht="15">
      <c r="A445" s="66" t="s">
        <v>634</v>
      </c>
      <c r="B445" s="67"/>
      <c r="C445" s="67"/>
      <c r="D445" s="68">
        <v>50</v>
      </c>
      <c r="E445" s="70"/>
      <c r="F445" s="105" t="str">
        <f>HYPERLINK("https://yt3.ggpht.com/ytc/AIf8zZQkujQpipA-B9csIzDiXjMIhDpTkC0hio2MRw=s88-c-k-c0x00ffffff-no-rj")</f>
        <v>https://yt3.ggpht.com/ytc/AIf8zZQkujQpipA-B9csIzDiXjMIhDpTkC0hio2MRw=s88-c-k-c0x00ffffff-no-rj</v>
      </c>
      <c r="G445" s="67"/>
      <c r="H445" s="71" t="s">
        <v>2866</v>
      </c>
      <c r="I445" s="72"/>
      <c r="J445" s="72" t="s">
        <v>159</v>
      </c>
      <c r="K445" s="71" t="s">
        <v>2866</v>
      </c>
      <c r="L445" s="75">
        <v>1</v>
      </c>
      <c r="M445" s="76">
        <v>1339.20263671875</v>
      </c>
      <c r="N445" s="76">
        <v>1425.514892578125</v>
      </c>
      <c r="O445" s="77"/>
      <c r="P445" s="78"/>
      <c r="Q445" s="78"/>
      <c r="R445" s="90"/>
      <c r="S445" s="49">
        <v>0</v>
      </c>
      <c r="T445" s="49">
        <v>1</v>
      </c>
      <c r="U445" s="50">
        <v>0</v>
      </c>
      <c r="V445" s="50">
        <v>0.220416</v>
      </c>
      <c r="W445" s="51"/>
      <c r="X445" s="51"/>
      <c r="Y445" s="51"/>
      <c r="Z445" s="50"/>
      <c r="AA445" s="73">
        <v>445</v>
      </c>
      <c r="AB445" s="73"/>
      <c r="AC445" s="74"/>
      <c r="AD445" s="81" t="s">
        <v>2866</v>
      </c>
      <c r="AE445" s="81"/>
      <c r="AF445" s="81"/>
      <c r="AG445" s="81"/>
      <c r="AH445" s="81"/>
      <c r="AI445" s="81" t="s">
        <v>2100</v>
      </c>
      <c r="AJ445" s="88">
        <v>41459.18046296296</v>
      </c>
      <c r="AK445" s="86" t="str">
        <f>HYPERLINK("https://yt3.ggpht.com/ytc/AIf8zZQkujQpipA-B9csIzDiXjMIhDpTkC0hio2MRw=s88-c-k-c0x00ffffff-no-rj")</f>
        <v>https://yt3.ggpht.com/ytc/AIf8zZQkujQpipA-B9csIzDiXjMIhDpTkC0hio2MRw=s88-c-k-c0x00ffffff-no-rj</v>
      </c>
      <c r="AL445" s="81">
        <v>0</v>
      </c>
      <c r="AM445" s="81">
        <v>0</v>
      </c>
      <c r="AN445" s="81">
        <v>4</v>
      </c>
      <c r="AO445" s="81" t="b">
        <v>0</v>
      </c>
      <c r="AP445" s="81">
        <v>0</v>
      </c>
      <c r="AQ445" s="81"/>
      <c r="AR445" s="81"/>
      <c r="AS445" s="81" t="s">
        <v>3378</v>
      </c>
      <c r="AT445" s="86" t="str">
        <f>HYPERLINK("https://www.youtube.com/channel/UC5u6LI25HEtIyHkMCvec4ZQ")</f>
        <v>https://www.youtube.com/channel/UC5u6LI25HEtIyHkMCvec4ZQ</v>
      </c>
      <c r="AU445" s="81" t="str">
        <f>REPLACE(INDEX(GroupVertices[Group],MATCH("~"&amp;Vertices[[#This Row],[Vertex]],GroupVertices[Vertex],0)),1,1,"")</f>
        <v>2</v>
      </c>
      <c r="AV445" s="49"/>
      <c r="AW445" s="49"/>
      <c r="AX445" s="49"/>
      <c r="AY445" s="49"/>
      <c r="AZ445" s="49"/>
      <c r="BA445" s="49"/>
      <c r="BB445" s="117" t="s">
        <v>4104</v>
      </c>
      <c r="BC445" s="117" t="s">
        <v>4104</v>
      </c>
      <c r="BD445" s="117" t="s">
        <v>4792</v>
      </c>
      <c r="BE445" s="117" t="s">
        <v>4792</v>
      </c>
      <c r="BF445" s="2"/>
      <c r="BG445" s="3"/>
      <c r="BH445" s="3"/>
      <c r="BI445" s="3"/>
      <c r="BJ445" s="3"/>
    </row>
    <row r="446" spans="1:62" ht="15">
      <c r="A446" s="66" t="s">
        <v>635</v>
      </c>
      <c r="B446" s="67"/>
      <c r="C446" s="67"/>
      <c r="D446" s="68">
        <v>50</v>
      </c>
      <c r="E446" s="70"/>
      <c r="F446" s="105" t="str">
        <f>HYPERLINK("https://yt3.ggpht.com/ytc/AIf8zZSd3D67_AtyyDCrdFJfz1p0XTji0Nuj7ZZ4ow=s88-c-k-c0x00ffffff-no-rj")</f>
        <v>https://yt3.ggpht.com/ytc/AIf8zZSd3D67_AtyyDCrdFJfz1p0XTji0Nuj7ZZ4ow=s88-c-k-c0x00ffffff-no-rj</v>
      </c>
      <c r="G446" s="67"/>
      <c r="H446" s="71" t="s">
        <v>2867</v>
      </c>
      <c r="I446" s="72"/>
      <c r="J446" s="72" t="s">
        <v>159</v>
      </c>
      <c r="K446" s="71" t="s">
        <v>2867</v>
      </c>
      <c r="L446" s="75">
        <v>1</v>
      </c>
      <c r="M446" s="76">
        <v>2412.740478515625</v>
      </c>
      <c r="N446" s="76">
        <v>234.6650848388672</v>
      </c>
      <c r="O446" s="77"/>
      <c r="P446" s="78"/>
      <c r="Q446" s="78"/>
      <c r="R446" s="90"/>
      <c r="S446" s="49">
        <v>0</v>
      </c>
      <c r="T446" s="49">
        <v>1</v>
      </c>
      <c r="U446" s="50">
        <v>0</v>
      </c>
      <c r="V446" s="50">
        <v>0.220416</v>
      </c>
      <c r="W446" s="51"/>
      <c r="X446" s="51"/>
      <c r="Y446" s="51"/>
      <c r="Z446" s="50"/>
      <c r="AA446" s="73">
        <v>446</v>
      </c>
      <c r="AB446" s="73"/>
      <c r="AC446" s="74"/>
      <c r="AD446" s="81" t="s">
        <v>2867</v>
      </c>
      <c r="AE446" s="81"/>
      <c r="AF446" s="81"/>
      <c r="AG446" s="81"/>
      <c r="AH446" s="81"/>
      <c r="AI446" s="81" t="s">
        <v>2101</v>
      </c>
      <c r="AJ446" s="88">
        <v>39297.48809027778</v>
      </c>
      <c r="AK446" s="86" t="str">
        <f>HYPERLINK("https://yt3.ggpht.com/ytc/AIf8zZSd3D67_AtyyDCrdFJfz1p0XTji0Nuj7ZZ4ow=s88-c-k-c0x00ffffff-no-rj")</f>
        <v>https://yt3.ggpht.com/ytc/AIf8zZSd3D67_AtyyDCrdFJfz1p0XTji0Nuj7ZZ4ow=s88-c-k-c0x00ffffff-no-rj</v>
      </c>
      <c r="AL446" s="81">
        <v>0</v>
      </c>
      <c r="AM446" s="81">
        <v>0</v>
      </c>
      <c r="AN446" s="81">
        <v>0</v>
      </c>
      <c r="AO446" s="81" t="b">
        <v>0</v>
      </c>
      <c r="AP446" s="81">
        <v>0</v>
      </c>
      <c r="AQ446" s="81"/>
      <c r="AR446" s="81"/>
      <c r="AS446" s="81" t="s">
        <v>3378</v>
      </c>
      <c r="AT446" s="86" t="str">
        <f>HYPERLINK("https://www.youtube.com/channel/UCK2y5DvD9Te4bY_WVN5TYag")</f>
        <v>https://www.youtube.com/channel/UCK2y5DvD9Te4bY_WVN5TYag</v>
      </c>
      <c r="AU446" s="81" t="str">
        <f>REPLACE(INDEX(GroupVertices[Group],MATCH("~"&amp;Vertices[[#This Row],[Vertex]],GroupVertices[Vertex],0)),1,1,"")</f>
        <v>2</v>
      </c>
      <c r="AV446" s="49"/>
      <c r="AW446" s="49"/>
      <c r="AX446" s="49"/>
      <c r="AY446" s="49"/>
      <c r="AZ446" s="49"/>
      <c r="BA446" s="49"/>
      <c r="BB446" s="117" t="s">
        <v>4105</v>
      </c>
      <c r="BC446" s="117" t="s">
        <v>4105</v>
      </c>
      <c r="BD446" s="117" t="s">
        <v>4793</v>
      </c>
      <c r="BE446" s="117" t="s">
        <v>4793</v>
      </c>
      <c r="BF446" s="2"/>
      <c r="BG446" s="3"/>
      <c r="BH446" s="3"/>
      <c r="BI446" s="3"/>
      <c r="BJ446" s="3"/>
    </row>
    <row r="447" spans="1:62" ht="15">
      <c r="A447" s="66" t="s">
        <v>636</v>
      </c>
      <c r="B447" s="67"/>
      <c r="C447" s="67"/>
      <c r="D447" s="68">
        <v>50</v>
      </c>
      <c r="E447" s="70"/>
      <c r="F447" s="105" t="str">
        <f>HYPERLINK("https://yt3.ggpht.com/ytc/AIf8zZSMylsipFwcmkb6ZskJXp7UxpwasY7nqnRKMSpWkpnIitD0CrE258gLOO87BS0L=s88-c-k-c0x00ffffff-no-rj")</f>
        <v>https://yt3.ggpht.com/ytc/AIf8zZSMylsipFwcmkb6ZskJXp7UxpwasY7nqnRKMSpWkpnIitD0CrE258gLOO87BS0L=s88-c-k-c0x00ffffff-no-rj</v>
      </c>
      <c r="G447" s="67"/>
      <c r="H447" s="71" t="s">
        <v>2868</v>
      </c>
      <c r="I447" s="72"/>
      <c r="J447" s="72" t="s">
        <v>159</v>
      </c>
      <c r="K447" s="71" t="s">
        <v>2868</v>
      </c>
      <c r="L447" s="75">
        <v>1</v>
      </c>
      <c r="M447" s="76">
        <v>1881.42529296875</v>
      </c>
      <c r="N447" s="76">
        <v>152.4237823486328</v>
      </c>
      <c r="O447" s="77"/>
      <c r="P447" s="78"/>
      <c r="Q447" s="78"/>
      <c r="R447" s="90"/>
      <c r="S447" s="49">
        <v>0</v>
      </c>
      <c r="T447" s="49">
        <v>1</v>
      </c>
      <c r="U447" s="50">
        <v>0</v>
      </c>
      <c r="V447" s="50">
        <v>0.220416</v>
      </c>
      <c r="W447" s="51"/>
      <c r="X447" s="51"/>
      <c r="Y447" s="51"/>
      <c r="Z447" s="50"/>
      <c r="AA447" s="73">
        <v>447</v>
      </c>
      <c r="AB447" s="73"/>
      <c r="AC447" s="74"/>
      <c r="AD447" s="81" t="s">
        <v>2868</v>
      </c>
      <c r="AE447" s="81"/>
      <c r="AF447" s="81"/>
      <c r="AG447" s="81"/>
      <c r="AH447" s="81"/>
      <c r="AI447" s="81" t="s">
        <v>2102</v>
      </c>
      <c r="AJ447" s="88">
        <v>44833.83892361111</v>
      </c>
      <c r="AK447" s="86" t="str">
        <f>HYPERLINK("https://yt3.ggpht.com/ytc/AIf8zZSMylsipFwcmkb6ZskJXp7UxpwasY7nqnRKMSpWkpnIitD0CrE258gLOO87BS0L=s88-c-k-c0x00ffffff-no-rj")</f>
        <v>https://yt3.ggpht.com/ytc/AIf8zZSMylsipFwcmkb6ZskJXp7UxpwasY7nqnRKMSpWkpnIitD0CrE258gLOO87BS0L=s88-c-k-c0x00ffffff-no-rj</v>
      </c>
      <c r="AL447" s="81">
        <v>0</v>
      </c>
      <c r="AM447" s="81">
        <v>0</v>
      </c>
      <c r="AN447" s="81">
        <v>0</v>
      </c>
      <c r="AO447" s="81" t="b">
        <v>0</v>
      </c>
      <c r="AP447" s="81">
        <v>0</v>
      </c>
      <c r="AQ447" s="81"/>
      <c r="AR447" s="81"/>
      <c r="AS447" s="81" t="s">
        <v>3378</v>
      </c>
      <c r="AT447" s="86" t="str">
        <f>HYPERLINK("https://www.youtube.com/channel/UCl0Bb_okx8-AifR3CFSx3Og")</f>
        <v>https://www.youtube.com/channel/UCl0Bb_okx8-AifR3CFSx3Og</v>
      </c>
      <c r="AU447" s="81" t="str">
        <f>REPLACE(INDEX(GroupVertices[Group],MATCH("~"&amp;Vertices[[#This Row],[Vertex]],GroupVertices[Vertex],0)),1,1,"")</f>
        <v>2</v>
      </c>
      <c r="AV447" s="49"/>
      <c r="AW447" s="49"/>
      <c r="AX447" s="49"/>
      <c r="AY447" s="49"/>
      <c r="AZ447" s="49"/>
      <c r="BA447" s="49"/>
      <c r="BB447" s="117" t="s">
        <v>4106</v>
      </c>
      <c r="BC447" s="117" t="s">
        <v>4106</v>
      </c>
      <c r="BD447" s="117" t="s">
        <v>4794</v>
      </c>
      <c r="BE447" s="117" t="s">
        <v>4794</v>
      </c>
      <c r="BF447" s="2"/>
      <c r="BG447" s="3"/>
      <c r="BH447" s="3"/>
      <c r="BI447" s="3"/>
      <c r="BJ447" s="3"/>
    </row>
    <row r="448" spans="1:62" ht="15">
      <c r="A448" s="66" t="s">
        <v>637</v>
      </c>
      <c r="B448" s="67"/>
      <c r="C448" s="67"/>
      <c r="D448" s="68">
        <v>50</v>
      </c>
      <c r="E448" s="70"/>
      <c r="F448" s="105" t="str">
        <f>HYPERLINK("https://yt3.ggpht.com/ytc/AIf8zZSG8jXkxZPVAzgwp443_4r2skY_6r9eaKCShBYoINemav0jcnnKk66KgtS3sqvY=s88-c-k-c0x00ffffff-no-rj")</f>
        <v>https://yt3.ggpht.com/ytc/AIf8zZSG8jXkxZPVAzgwp443_4r2skY_6r9eaKCShBYoINemav0jcnnKk66KgtS3sqvY=s88-c-k-c0x00ffffff-no-rj</v>
      </c>
      <c r="G448" s="67"/>
      <c r="H448" s="71" t="s">
        <v>2869</v>
      </c>
      <c r="I448" s="72"/>
      <c r="J448" s="72" t="s">
        <v>159</v>
      </c>
      <c r="K448" s="71" t="s">
        <v>2869</v>
      </c>
      <c r="L448" s="75">
        <v>1</v>
      </c>
      <c r="M448" s="76">
        <v>1595.6876220703125</v>
      </c>
      <c r="N448" s="76">
        <v>181.74935913085938</v>
      </c>
      <c r="O448" s="77"/>
      <c r="P448" s="78"/>
      <c r="Q448" s="78"/>
      <c r="R448" s="90"/>
      <c r="S448" s="49">
        <v>0</v>
      </c>
      <c r="T448" s="49">
        <v>1</v>
      </c>
      <c r="U448" s="50">
        <v>0</v>
      </c>
      <c r="V448" s="50">
        <v>0.220416</v>
      </c>
      <c r="W448" s="51"/>
      <c r="X448" s="51"/>
      <c r="Y448" s="51"/>
      <c r="Z448" s="50"/>
      <c r="AA448" s="73">
        <v>448</v>
      </c>
      <c r="AB448" s="73"/>
      <c r="AC448" s="74"/>
      <c r="AD448" s="81" t="s">
        <v>2869</v>
      </c>
      <c r="AE448" s="81"/>
      <c r="AF448" s="81"/>
      <c r="AG448" s="81"/>
      <c r="AH448" s="81"/>
      <c r="AI448" s="81" t="s">
        <v>3320</v>
      </c>
      <c r="AJ448" s="88">
        <v>44902.738530092596</v>
      </c>
      <c r="AK448" s="86" t="str">
        <f>HYPERLINK("https://yt3.ggpht.com/ytc/AIf8zZSG8jXkxZPVAzgwp443_4r2skY_6r9eaKCShBYoINemav0jcnnKk66KgtS3sqvY=s88-c-k-c0x00ffffff-no-rj")</f>
        <v>https://yt3.ggpht.com/ytc/AIf8zZSG8jXkxZPVAzgwp443_4r2skY_6r9eaKCShBYoINemav0jcnnKk66KgtS3sqvY=s88-c-k-c0x00ffffff-no-rj</v>
      </c>
      <c r="AL448" s="81">
        <v>0</v>
      </c>
      <c r="AM448" s="81">
        <v>0</v>
      </c>
      <c r="AN448" s="81">
        <v>0</v>
      </c>
      <c r="AO448" s="81" t="b">
        <v>0</v>
      </c>
      <c r="AP448" s="81">
        <v>0</v>
      </c>
      <c r="AQ448" s="81"/>
      <c r="AR448" s="81"/>
      <c r="AS448" s="81" t="s">
        <v>3378</v>
      </c>
      <c r="AT448" s="86" t="str">
        <f>HYPERLINK("https://www.youtube.com/channel/UC9-zm0EDc4kGxPnktyZOxBw")</f>
        <v>https://www.youtube.com/channel/UC9-zm0EDc4kGxPnktyZOxBw</v>
      </c>
      <c r="AU448" s="81" t="str">
        <f>REPLACE(INDEX(GroupVertices[Group],MATCH("~"&amp;Vertices[[#This Row],[Vertex]],GroupVertices[Vertex],0)),1,1,"")</f>
        <v>2</v>
      </c>
      <c r="AV448" s="49"/>
      <c r="AW448" s="49"/>
      <c r="AX448" s="49"/>
      <c r="AY448" s="49"/>
      <c r="AZ448" s="49"/>
      <c r="BA448" s="49"/>
      <c r="BB448" s="117" t="s">
        <v>4107</v>
      </c>
      <c r="BC448" s="117" t="s">
        <v>4107</v>
      </c>
      <c r="BD448" s="117" t="s">
        <v>4795</v>
      </c>
      <c r="BE448" s="117" t="s">
        <v>4795</v>
      </c>
      <c r="BF448" s="2"/>
      <c r="BG448" s="3"/>
      <c r="BH448" s="3"/>
      <c r="BI448" s="3"/>
      <c r="BJ448" s="3"/>
    </row>
    <row r="449" spans="1:62" ht="15">
      <c r="A449" s="66" t="s">
        <v>638</v>
      </c>
      <c r="B449" s="67"/>
      <c r="C449" s="67"/>
      <c r="D449" s="68">
        <v>50</v>
      </c>
      <c r="E449" s="70"/>
      <c r="F449" s="105" t="str">
        <f>HYPERLINK("https://yt3.ggpht.com/ytc/AIf8zZSdm_dGvZgIzh1yCsH2RQEtSH3kQf-YAbZ7aEZvfsYhJqbypxS4u9DyFew6jtAY=s88-c-k-c0x00ffffff-no-rj")</f>
        <v>https://yt3.ggpht.com/ytc/AIf8zZSdm_dGvZgIzh1yCsH2RQEtSH3kQf-YAbZ7aEZvfsYhJqbypxS4u9DyFew6jtAY=s88-c-k-c0x00ffffff-no-rj</v>
      </c>
      <c r="G449" s="67"/>
      <c r="H449" s="71" t="s">
        <v>2870</v>
      </c>
      <c r="I449" s="72"/>
      <c r="J449" s="72" t="s">
        <v>159</v>
      </c>
      <c r="K449" s="71" t="s">
        <v>2870</v>
      </c>
      <c r="L449" s="75">
        <v>1</v>
      </c>
      <c r="M449" s="76">
        <v>3319.21533203125</v>
      </c>
      <c r="N449" s="76">
        <v>2975.510009765625</v>
      </c>
      <c r="O449" s="77"/>
      <c r="P449" s="78"/>
      <c r="Q449" s="78"/>
      <c r="R449" s="90"/>
      <c r="S449" s="49">
        <v>0</v>
      </c>
      <c r="T449" s="49">
        <v>1</v>
      </c>
      <c r="U449" s="50">
        <v>0</v>
      </c>
      <c r="V449" s="50">
        <v>0.220416</v>
      </c>
      <c r="W449" s="51"/>
      <c r="X449" s="51"/>
      <c r="Y449" s="51"/>
      <c r="Z449" s="50"/>
      <c r="AA449" s="73">
        <v>449</v>
      </c>
      <c r="AB449" s="73"/>
      <c r="AC449" s="74"/>
      <c r="AD449" s="81" t="s">
        <v>2870</v>
      </c>
      <c r="AE449" s="81"/>
      <c r="AF449" s="81"/>
      <c r="AG449" s="81"/>
      <c r="AH449" s="81"/>
      <c r="AI449" s="81" t="s">
        <v>3321</v>
      </c>
      <c r="AJ449" s="88">
        <v>44590.000243055554</v>
      </c>
      <c r="AK449" s="86" t="str">
        <f>HYPERLINK("https://yt3.ggpht.com/ytc/AIf8zZSdm_dGvZgIzh1yCsH2RQEtSH3kQf-YAbZ7aEZvfsYhJqbypxS4u9DyFew6jtAY=s88-c-k-c0x00ffffff-no-rj")</f>
        <v>https://yt3.ggpht.com/ytc/AIf8zZSdm_dGvZgIzh1yCsH2RQEtSH3kQf-YAbZ7aEZvfsYhJqbypxS4u9DyFew6jtAY=s88-c-k-c0x00ffffff-no-rj</v>
      </c>
      <c r="AL449" s="81">
        <v>0</v>
      </c>
      <c r="AM449" s="81">
        <v>0</v>
      </c>
      <c r="AN449" s="81">
        <v>0</v>
      </c>
      <c r="AO449" s="81" t="b">
        <v>0</v>
      </c>
      <c r="AP449" s="81">
        <v>0</v>
      </c>
      <c r="AQ449" s="81"/>
      <c r="AR449" s="81"/>
      <c r="AS449" s="81" t="s">
        <v>3378</v>
      </c>
      <c r="AT449" s="86" t="str">
        <f>HYPERLINK("https://www.youtube.com/channel/UCn8u405OvtbjeKU0q-HF9Sg")</f>
        <v>https://www.youtube.com/channel/UCn8u405OvtbjeKU0q-HF9Sg</v>
      </c>
      <c r="AU449" s="81" t="str">
        <f>REPLACE(INDEX(GroupVertices[Group],MATCH("~"&amp;Vertices[[#This Row],[Vertex]],GroupVertices[Vertex],0)),1,1,"")</f>
        <v>2</v>
      </c>
      <c r="AV449" s="49"/>
      <c r="AW449" s="49"/>
      <c r="AX449" s="49"/>
      <c r="AY449" s="49"/>
      <c r="AZ449" s="49"/>
      <c r="BA449" s="49"/>
      <c r="BB449" s="117" t="s">
        <v>4108</v>
      </c>
      <c r="BC449" s="117" t="s">
        <v>4108</v>
      </c>
      <c r="BD449" s="117" t="s">
        <v>4796</v>
      </c>
      <c r="BE449" s="117" t="s">
        <v>4796</v>
      </c>
      <c r="BF449" s="2"/>
      <c r="BG449" s="3"/>
      <c r="BH449" s="3"/>
      <c r="BI449" s="3"/>
      <c r="BJ449" s="3"/>
    </row>
    <row r="450" spans="1:62" ht="15">
      <c r="A450" s="66" t="s">
        <v>639</v>
      </c>
      <c r="B450" s="67"/>
      <c r="C450" s="67"/>
      <c r="D450" s="68">
        <v>50</v>
      </c>
      <c r="E450" s="70"/>
      <c r="F450" s="105" t="str">
        <f>HYPERLINK("https://yt3.ggpht.com/ytc/AIf8zZQCqZUUXW_lceXkrmQ5ZYp-E_8NLA_S310Et0i4=s88-c-k-c0x00ffffff-no-rj")</f>
        <v>https://yt3.ggpht.com/ytc/AIf8zZQCqZUUXW_lceXkrmQ5ZYp-E_8NLA_S310Et0i4=s88-c-k-c0x00ffffff-no-rj</v>
      </c>
      <c r="G450" s="67"/>
      <c r="H450" s="71" t="s">
        <v>2871</v>
      </c>
      <c r="I450" s="72"/>
      <c r="J450" s="72" t="s">
        <v>159</v>
      </c>
      <c r="K450" s="71" t="s">
        <v>2871</v>
      </c>
      <c r="L450" s="75">
        <v>1</v>
      </c>
      <c r="M450" s="76">
        <v>2668.45654296875</v>
      </c>
      <c r="N450" s="76">
        <v>3083.131103515625</v>
      </c>
      <c r="O450" s="77"/>
      <c r="P450" s="78"/>
      <c r="Q450" s="78"/>
      <c r="R450" s="90"/>
      <c r="S450" s="49">
        <v>0</v>
      </c>
      <c r="T450" s="49">
        <v>1</v>
      </c>
      <c r="U450" s="50">
        <v>0</v>
      </c>
      <c r="V450" s="50">
        <v>0.220416</v>
      </c>
      <c r="W450" s="51"/>
      <c r="X450" s="51"/>
      <c r="Y450" s="51"/>
      <c r="Z450" s="50"/>
      <c r="AA450" s="73">
        <v>450</v>
      </c>
      <c r="AB450" s="73"/>
      <c r="AC450" s="74"/>
      <c r="AD450" s="81" t="s">
        <v>2871</v>
      </c>
      <c r="AE450" s="81"/>
      <c r="AF450" s="81"/>
      <c r="AG450" s="81"/>
      <c r="AH450" s="81"/>
      <c r="AI450" s="81" t="s">
        <v>2105</v>
      </c>
      <c r="AJ450" s="88">
        <v>41249.17357638889</v>
      </c>
      <c r="AK450" s="86" t="str">
        <f>HYPERLINK("https://yt3.ggpht.com/ytc/AIf8zZQCqZUUXW_lceXkrmQ5ZYp-E_8NLA_S310Et0i4=s88-c-k-c0x00ffffff-no-rj")</f>
        <v>https://yt3.ggpht.com/ytc/AIf8zZQCqZUUXW_lceXkrmQ5ZYp-E_8NLA_S310Et0i4=s88-c-k-c0x00ffffff-no-rj</v>
      </c>
      <c r="AL450" s="81">
        <v>0</v>
      </c>
      <c r="AM450" s="81">
        <v>0</v>
      </c>
      <c r="AN450" s="81">
        <v>1</v>
      </c>
      <c r="AO450" s="81" t="b">
        <v>0</v>
      </c>
      <c r="AP450" s="81">
        <v>0</v>
      </c>
      <c r="AQ450" s="81"/>
      <c r="AR450" s="81"/>
      <c r="AS450" s="81" t="s">
        <v>3378</v>
      </c>
      <c r="AT450" s="86" t="str">
        <f>HYPERLINK("https://www.youtube.com/channel/UCszmpTvc3wAo4VAHtZwjKLQ")</f>
        <v>https://www.youtube.com/channel/UCszmpTvc3wAo4VAHtZwjKLQ</v>
      </c>
      <c r="AU450" s="81" t="str">
        <f>REPLACE(INDEX(GroupVertices[Group],MATCH("~"&amp;Vertices[[#This Row],[Vertex]],GroupVertices[Vertex],0)),1,1,"")</f>
        <v>2</v>
      </c>
      <c r="AV450" s="49"/>
      <c r="AW450" s="49"/>
      <c r="AX450" s="49"/>
      <c r="AY450" s="49"/>
      <c r="AZ450" s="49"/>
      <c r="BA450" s="49"/>
      <c r="BB450" s="117" t="s">
        <v>4109</v>
      </c>
      <c r="BC450" s="117" t="s">
        <v>4109</v>
      </c>
      <c r="BD450" s="117" t="s">
        <v>4797</v>
      </c>
      <c r="BE450" s="117" t="s">
        <v>4797</v>
      </c>
      <c r="BF450" s="2"/>
      <c r="BG450" s="3"/>
      <c r="BH450" s="3"/>
      <c r="BI450" s="3"/>
      <c r="BJ450" s="3"/>
    </row>
    <row r="451" spans="1:62" ht="15">
      <c r="A451" s="66" t="s">
        <v>640</v>
      </c>
      <c r="B451" s="67"/>
      <c r="C451" s="67"/>
      <c r="D451" s="68">
        <v>50</v>
      </c>
      <c r="E451" s="70"/>
      <c r="F451" s="105" t="str">
        <f>HYPERLINK("https://yt3.ggpht.com/ytc/AIf8zZRdxeMx6ortbxbmxD5MEhv-YVmIKSlWLV7qbQ=s88-c-k-c0x00ffffff-no-rj")</f>
        <v>https://yt3.ggpht.com/ytc/AIf8zZRdxeMx6ortbxbmxD5MEhv-YVmIKSlWLV7qbQ=s88-c-k-c0x00ffffff-no-rj</v>
      </c>
      <c r="G451" s="67"/>
      <c r="H451" s="71" t="s">
        <v>2872</v>
      </c>
      <c r="I451" s="72"/>
      <c r="J451" s="72" t="s">
        <v>159</v>
      </c>
      <c r="K451" s="71" t="s">
        <v>2872</v>
      </c>
      <c r="L451" s="75">
        <v>1</v>
      </c>
      <c r="M451" s="76">
        <v>3223.74609375</v>
      </c>
      <c r="N451" s="76">
        <v>1961.5277099609375</v>
      </c>
      <c r="O451" s="77"/>
      <c r="P451" s="78"/>
      <c r="Q451" s="78"/>
      <c r="R451" s="90"/>
      <c r="S451" s="49">
        <v>0</v>
      </c>
      <c r="T451" s="49">
        <v>1</v>
      </c>
      <c r="U451" s="50">
        <v>0</v>
      </c>
      <c r="V451" s="50">
        <v>0.220416</v>
      </c>
      <c r="W451" s="51"/>
      <c r="X451" s="51"/>
      <c r="Y451" s="51"/>
      <c r="Z451" s="50"/>
      <c r="AA451" s="73">
        <v>451</v>
      </c>
      <c r="AB451" s="73"/>
      <c r="AC451" s="74"/>
      <c r="AD451" s="81" t="s">
        <v>2872</v>
      </c>
      <c r="AE451" s="81"/>
      <c r="AF451" s="81"/>
      <c r="AG451" s="81"/>
      <c r="AH451" s="81"/>
      <c r="AI451" s="81" t="s">
        <v>2106</v>
      </c>
      <c r="AJ451" s="88">
        <v>39830.86415509259</v>
      </c>
      <c r="AK451" s="86" t="str">
        <f>HYPERLINK("https://yt3.ggpht.com/ytc/AIf8zZRdxeMx6ortbxbmxD5MEhv-YVmIKSlWLV7qbQ=s88-c-k-c0x00ffffff-no-rj")</f>
        <v>https://yt3.ggpht.com/ytc/AIf8zZRdxeMx6ortbxbmxD5MEhv-YVmIKSlWLV7qbQ=s88-c-k-c0x00ffffff-no-rj</v>
      </c>
      <c r="AL451" s="81">
        <v>452</v>
      </c>
      <c r="AM451" s="81">
        <v>0</v>
      </c>
      <c r="AN451" s="81">
        <v>3</v>
      </c>
      <c r="AO451" s="81" t="b">
        <v>0</v>
      </c>
      <c r="AP451" s="81">
        <v>3</v>
      </c>
      <c r="AQ451" s="81"/>
      <c r="AR451" s="81"/>
      <c r="AS451" s="81" t="s">
        <v>3378</v>
      </c>
      <c r="AT451" s="86" t="str">
        <f>HYPERLINK("https://www.youtube.com/channel/UCvCk-LUUcBMF1RstEh5quSQ")</f>
        <v>https://www.youtube.com/channel/UCvCk-LUUcBMF1RstEh5quSQ</v>
      </c>
      <c r="AU451" s="81" t="str">
        <f>REPLACE(INDEX(GroupVertices[Group],MATCH("~"&amp;Vertices[[#This Row],[Vertex]],GroupVertices[Vertex],0)),1,1,"")</f>
        <v>2</v>
      </c>
      <c r="AV451" s="49"/>
      <c r="AW451" s="49"/>
      <c r="AX451" s="49"/>
      <c r="AY451" s="49"/>
      <c r="AZ451" s="49"/>
      <c r="BA451" s="49"/>
      <c r="BB451" s="117" t="s">
        <v>4110</v>
      </c>
      <c r="BC451" s="117" t="s">
        <v>4110</v>
      </c>
      <c r="BD451" s="117" t="s">
        <v>2423</v>
      </c>
      <c r="BE451" s="117" t="s">
        <v>2423</v>
      </c>
      <c r="BF451" s="2"/>
      <c r="BG451" s="3"/>
      <c r="BH451" s="3"/>
      <c r="BI451" s="3"/>
      <c r="BJ451" s="3"/>
    </row>
    <row r="452" spans="1:62" ht="15">
      <c r="A452" s="66" t="s">
        <v>641</v>
      </c>
      <c r="B452" s="67"/>
      <c r="C452" s="67"/>
      <c r="D452" s="68">
        <v>50</v>
      </c>
      <c r="E452" s="70"/>
      <c r="F452" s="105" t="str">
        <f>HYPERLINK("https://yt3.ggpht.com/ytc/AIf8zZSfg-IVX_dMbJNk4oywan81fMw5m51KMPyC=s88-c-k-c0x00ffffff-no-rj")</f>
        <v>https://yt3.ggpht.com/ytc/AIf8zZSfg-IVX_dMbJNk4oywan81fMw5m51KMPyC=s88-c-k-c0x00ffffff-no-rj</v>
      </c>
      <c r="G452" s="67"/>
      <c r="H452" s="71" t="s">
        <v>2873</v>
      </c>
      <c r="I452" s="72"/>
      <c r="J452" s="72" t="s">
        <v>159</v>
      </c>
      <c r="K452" s="71" t="s">
        <v>2873</v>
      </c>
      <c r="L452" s="75">
        <v>1</v>
      </c>
      <c r="M452" s="76">
        <v>2911.527587890625</v>
      </c>
      <c r="N452" s="76">
        <v>2320.0673828125</v>
      </c>
      <c r="O452" s="77"/>
      <c r="P452" s="78"/>
      <c r="Q452" s="78"/>
      <c r="R452" s="90"/>
      <c r="S452" s="49">
        <v>0</v>
      </c>
      <c r="T452" s="49">
        <v>1</v>
      </c>
      <c r="U452" s="50">
        <v>0</v>
      </c>
      <c r="V452" s="50">
        <v>0.220416</v>
      </c>
      <c r="W452" s="51"/>
      <c r="X452" s="51"/>
      <c r="Y452" s="51"/>
      <c r="Z452" s="50"/>
      <c r="AA452" s="73">
        <v>452</v>
      </c>
      <c r="AB452" s="73"/>
      <c r="AC452" s="74"/>
      <c r="AD452" s="81" t="s">
        <v>2873</v>
      </c>
      <c r="AE452" s="81"/>
      <c r="AF452" s="81"/>
      <c r="AG452" s="81"/>
      <c r="AH452" s="81"/>
      <c r="AI452" s="81" t="s">
        <v>2107</v>
      </c>
      <c r="AJ452" s="88">
        <v>41646.710231481484</v>
      </c>
      <c r="AK452" s="86" t="str">
        <f>HYPERLINK("https://yt3.ggpht.com/ytc/AIf8zZSfg-IVX_dMbJNk4oywan81fMw5m51KMPyC=s88-c-k-c0x00ffffff-no-rj")</f>
        <v>https://yt3.ggpht.com/ytc/AIf8zZSfg-IVX_dMbJNk4oywan81fMw5m51KMPyC=s88-c-k-c0x00ffffff-no-rj</v>
      </c>
      <c r="AL452" s="81">
        <v>0</v>
      </c>
      <c r="AM452" s="81">
        <v>0</v>
      </c>
      <c r="AN452" s="81">
        <v>4</v>
      </c>
      <c r="AO452" s="81" t="b">
        <v>0</v>
      </c>
      <c r="AP452" s="81">
        <v>0</v>
      </c>
      <c r="AQ452" s="81"/>
      <c r="AR452" s="81"/>
      <c r="AS452" s="81" t="s">
        <v>3378</v>
      </c>
      <c r="AT452" s="86" t="str">
        <f>HYPERLINK("https://www.youtube.com/channel/UC8qZdEv3R_7q3knqIYhOtUQ")</f>
        <v>https://www.youtube.com/channel/UC8qZdEv3R_7q3knqIYhOtUQ</v>
      </c>
      <c r="AU452" s="81" t="str">
        <f>REPLACE(INDEX(GroupVertices[Group],MATCH("~"&amp;Vertices[[#This Row],[Vertex]],GroupVertices[Vertex],0)),1,1,"")</f>
        <v>2</v>
      </c>
      <c r="AV452" s="49"/>
      <c r="AW452" s="49"/>
      <c r="AX452" s="49"/>
      <c r="AY452" s="49"/>
      <c r="AZ452" s="49"/>
      <c r="BA452" s="49"/>
      <c r="BB452" s="117" t="s">
        <v>4111</v>
      </c>
      <c r="BC452" s="117" t="s">
        <v>4111</v>
      </c>
      <c r="BD452" s="117" t="s">
        <v>4798</v>
      </c>
      <c r="BE452" s="117" t="s">
        <v>4798</v>
      </c>
      <c r="BF452" s="2"/>
      <c r="BG452" s="3"/>
      <c r="BH452" s="3"/>
      <c r="BI452" s="3"/>
      <c r="BJ452" s="3"/>
    </row>
    <row r="453" spans="1:62" ht="15">
      <c r="A453" s="66" t="s">
        <v>642</v>
      </c>
      <c r="B453" s="67"/>
      <c r="C453" s="67"/>
      <c r="D453" s="68">
        <v>50</v>
      </c>
      <c r="E453" s="70"/>
      <c r="F453" s="105" t="str">
        <f>HYPERLINK("https://yt3.ggpht.com/ytc/AIf8zZSc1povRjDBH2Ndgutx7UgcwU_AWmXrnx56Wg=s88-c-k-c0x00ffffff-no-rj")</f>
        <v>https://yt3.ggpht.com/ytc/AIf8zZSc1povRjDBH2Ndgutx7UgcwU_AWmXrnx56Wg=s88-c-k-c0x00ffffff-no-rj</v>
      </c>
      <c r="G453" s="67"/>
      <c r="H453" s="71" t="s">
        <v>2874</v>
      </c>
      <c r="I453" s="72"/>
      <c r="J453" s="72" t="s">
        <v>159</v>
      </c>
      <c r="K453" s="71" t="s">
        <v>2874</v>
      </c>
      <c r="L453" s="75">
        <v>1</v>
      </c>
      <c r="M453" s="76">
        <v>2347</v>
      </c>
      <c r="N453" s="76">
        <v>3543.115966796875</v>
      </c>
      <c r="O453" s="77"/>
      <c r="P453" s="78"/>
      <c r="Q453" s="78"/>
      <c r="R453" s="90"/>
      <c r="S453" s="49">
        <v>0</v>
      </c>
      <c r="T453" s="49">
        <v>1</v>
      </c>
      <c r="U453" s="50">
        <v>0</v>
      </c>
      <c r="V453" s="50">
        <v>0.220416</v>
      </c>
      <c r="W453" s="51"/>
      <c r="X453" s="51"/>
      <c r="Y453" s="51"/>
      <c r="Z453" s="50"/>
      <c r="AA453" s="73">
        <v>453</v>
      </c>
      <c r="AB453" s="73"/>
      <c r="AC453" s="74"/>
      <c r="AD453" s="81" t="s">
        <v>2874</v>
      </c>
      <c r="AE453" s="81"/>
      <c r="AF453" s="81"/>
      <c r="AG453" s="81"/>
      <c r="AH453" s="81"/>
      <c r="AI453" s="81" t="s">
        <v>3322</v>
      </c>
      <c r="AJ453" s="88">
        <v>41793.43991898148</v>
      </c>
      <c r="AK453" s="86" t="str">
        <f>HYPERLINK("https://yt3.ggpht.com/ytc/AIf8zZSc1povRjDBH2Ndgutx7UgcwU_AWmXrnx56Wg=s88-c-k-c0x00ffffff-no-rj")</f>
        <v>https://yt3.ggpht.com/ytc/AIf8zZSc1povRjDBH2Ndgutx7UgcwU_AWmXrnx56Wg=s88-c-k-c0x00ffffff-no-rj</v>
      </c>
      <c r="AL453" s="81">
        <v>0</v>
      </c>
      <c r="AM453" s="81">
        <v>0</v>
      </c>
      <c r="AN453" s="81">
        <v>2</v>
      </c>
      <c r="AO453" s="81" t="b">
        <v>0</v>
      </c>
      <c r="AP453" s="81">
        <v>0</v>
      </c>
      <c r="AQ453" s="81"/>
      <c r="AR453" s="81"/>
      <c r="AS453" s="81" t="s">
        <v>3378</v>
      </c>
      <c r="AT453" s="86" t="str">
        <f>HYPERLINK("https://www.youtube.com/channel/UCFxlADzMeWHfNT-okhpFi8g")</f>
        <v>https://www.youtube.com/channel/UCFxlADzMeWHfNT-okhpFi8g</v>
      </c>
      <c r="AU453" s="81" t="str">
        <f>REPLACE(INDEX(GroupVertices[Group],MATCH("~"&amp;Vertices[[#This Row],[Vertex]],GroupVertices[Vertex],0)),1,1,"")</f>
        <v>2</v>
      </c>
      <c r="AV453" s="49"/>
      <c r="AW453" s="49"/>
      <c r="AX453" s="49"/>
      <c r="AY453" s="49"/>
      <c r="AZ453" s="49"/>
      <c r="BA453" s="49"/>
      <c r="BB453" s="117" t="s">
        <v>4112</v>
      </c>
      <c r="BC453" s="117" t="s">
        <v>4112</v>
      </c>
      <c r="BD453" s="117" t="s">
        <v>4799</v>
      </c>
      <c r="BE453" s="117" t="s">
        <v>4799</v>
      </c>
      <c r="BF453" s="2"/>
      <c r="BG453" s="3"/>
      <c r="BH453" s="3"/>
      <c r="BI453" s="3"/>
      <c r="BJ453" s="3"/>
    </row>
    <row r="454" spans="1:62" ht="15">
      <c r="A454" s="66" t="s">
        <v>643</v>
      </c>
      <c r="B454" s="67"/>
      <c r="C454" s="67"/>
      <c r="D454" s="68">
        <v>50</v>
      </c>
      <c r="E454" s="70"/>
      <c r="F454" s="105" t="str">
        <f>HYPERLINK("https://yt3.ggpht.com/DZzdbjMf_qM5LN-RHV9s0VXq6nflEhWFMg5QUWuxcrxUzcXad5J6ORYIeJ9dM053I8c2NpPi-2I=s88-c-k-c0x00ffffff-no-rj")</f>
        <v>https://yt3.ggpht.com/DZzdbjMf_qM5LN-RHV9s0VXq6nflEhWFMg5QUWuxcrxUzcXad5J6ORYIeJ9dM053I8c2NpPi-2I=s88-c-k-c0x00ffffff-no-rj</v>
      </c>
      <c r="G454" s="67"/>
      <c r="H454" s="71" t="s">
        <v>2875</v>
      </c>
      <c r="I454" s="72"/>
      <c r="J454" s="72" t="s">
        <v>159</v>
      </c>
      <c r="K454" s="71" t="s">
        <v>2875</v>
      </c>
      <c r="L454" s="75">
        <v>1</v>
      </c>
      <c r="M454" s="76">
        <v>1846.951171875</v>
      </c>
      <c r="N454" s="76">
        <v>2929.549072265625</v>
      </c>
      <c r="O454" s="77"/>
      <c r="P454" s="78"/>
      <c r="Q454" s="78"/>
      <c r="R454" s="90"/>
      <c r="S454" s="49">
        <v>0</v>
      </c>
      <c r="T454" s="49">
        <v>1</v>
      </c>
      <c r="U454" s="50">
        <v>0</v>
      </c>
      <c r="V454" s="50">
        <v>0.220416</v>
      </c>
      <c r="W454" s="51"/>
      <c r="X454" s="51"/>
      <c r="Y454" s="51"/>
      <c r="Z454" s="50"/>
      <c r="AA454" s="73">
        <v>454</v>
      </c>
      <c r="AB454" s="73"/>
      <c r="AC454" s="74"/>
      <c r="AD454" s="81" t="s">
        <v>2875</v>
      </c>
      <c r="AE454" s="81" t="s">
        <v>3188</v>
      </c>
      <c r="AF454" s="81"/>
      <c r="AG454" s="81"/>
      <c r="AH454" s="81"/>
      <c r="AI454" s="81" t="s">
        <v>3323</v>
      </c>
      <c r="AJ454" s="88">
        <v>43976.490636574075</v>
      </c>
      <c r="AK454" s="86" t="str">
        <f>HYPERLINK("https://yt3.ggpht.com/DZzdbjMf_qM5LN-RHV9s0VXq6nflEhWFMg5QUWuxcrxUzcXad5J6ORYIeJ9dM053I8c2NpPi-2I=s88-c-k-c0x00ffffff-no-rj")</f>
        <v>https://yt3.ggpht.com/DZzdbjMf_qM5LN-RHV9s0VXq6nflEhWFMg5QUWuxcrxUzcXad5J6ORYIeJ9dM053I8c2NpPi-2I=s88-c-k-c0x00ffffff-no-rj</v>
      </c>
      <c r="AL454" s="81">
        <v>0</v>
      </c>
      <c r="AM454" s="81">
        <v>0</v>
      </c>
      <c r="AN454" s="81">
        <v>2</v>
      </c>
      <c r="AO454" s="81" t="b">
        <v>0</v>
      </c>
      <c r="AP454" s="81">
        <v>0</v>
      </c>
      <c r="AQ454" s="81"/>
      <c r="AR454" s="81"/>
      <c r="AS454" s="81" t="s">
        <v>3378</v>
      </c>
      <c r="AT454" s="86" t="str">
        <f>HYPERLINK("https://www.youtube.com/channel/UCX4PxI9y174K8kLytkebhzQ")</f>
        <v>https://www.youtube.com/channel/UCX4PxI9y174K8kLytkebhzQ</v>
      </c>
      <c r="AU454" s="81" t="str">
        <f>REPLACE(INDEX(GroupVertices[Group],MATCH("~"&amp;Vertices[[#This Row],[Vertex]],GroupVertices[Vertex],0)),1,1,"")</f>
        <v>2</v>
      </c>
      <c r="AV454" s="49"/>
      <c r="AW454" s="49"/>
      <c r="AX454" s="49"/>
      <c r="AY454" s="49"/>
      <c r="AZ454" s="49"/>
      <c r="BA454" s="49"/>
      <c r="BB454" s="117" t="s">
        <v>4113</v>
      </c>
      <c r="BC454" s="117" t="s">
        <v>4113</v>
      </c>
      <c r="BD454" s="117" t="s">
        <v>4800</v>
      </c>
      <c r="BE454" s="117" t="s">
        <v>4800</v>
      </c>
      <c r="BF454" s="2"/>
      <c r="BG454" s="3"/>
      <c r="BH454" s="3"/>
      <c r="BI454" s="3"/>
      <c r="BJ454" s="3"/>
    </row>
    <row r="455" spans="1:62" ht="15">
      <c r="A455" s="66" t="s">
        <v>644</v>
      </c>
      <c r="B455" s="67"/>
      <c r="C455" s="67"/>
      <c r="D455" s="68">
        <v>50</v>
      </c>
      <c r="E455" s="70"/>
      <c r="F455" s="105" t="str">
        <f>HYPERLINK("https://yt3.ggpht.com/kbQlXfHA0BZyzqve4NGWWJYOa5TMLToOpVJnjSRbtmJHed1wmDKrZw1iHhGxLwpIcZZJ7XigJg=s88-c-k-c0x00ffffff-no-rj")</f>
        <v>https://yt3.ggpht.com/kbQlXfHA0BZyzqve4NGWWJYOa5TMLToOpVJnjSRbtmJHed1wmDKrZw1iHhGxLwpIcZZJ7XigJg=s88-c-k-c0x00ffffff-no-rj</v>
      </c>
      <c r="G455" s="67"/>
      <c r="H455" s="71" t="s">
        <v>2876</v>
      </c>
      <c r="I455" s="72"/>
      <c r="J455" s="72" t="s">
        <v>159</v>
      </c>
      <c r="K455" s="71" t="s">
        <v>2876</v>
      </c>
      <c r="L455" s="75">
        <v>1</v>
      </c>
      <c r="M455" s="76">
        <v>540.7429809570312</v>
      </c>
      <c r="N455" s="76">
        <v>2614.31201171875</v>
      </c>
      <c r="O455" s="77"/>
      <c r="P455" s="78"/>
      <c r="Q455" s="78"/>
      <c r="R455" s="90"/>
      <c r="S455" s="49">
        <v>0</v>
      </c>
      <c r="T455" s="49">
        <v>1</v>
      </c>
      <c r="U455" s="50">
        <v>0</v>
      </c>
      <c r="V455" s="50">
        <v>0.220416</v>
      </c>
      <c r="W455" s="51"/>
      <c r="X455" s="51"/>
      <c r="Y455" s="51"/>
      <c r="Z455" s="50"/>
      <c r="AA455" s="73">
        <v>455</v>
      </c>
      <c r="AB455" s="73"/>
      <c r="AC455" s="74"/>
      <c r="AD455" s="81" t="s">
        <v>2876</v>
      </c>
      <c r="AE455" s="81"/>
      <c r="AF455" s="81"/>
      <c r="AG455" s="81"/>
      <c r="AH455" s="81"/>
      <c r="AI455" s="81" t="s">
        <v>3324</v>
      </c>
      <c r="AJ455" s="88">
        <v>39420.639652777776</v>
      </c>
      <c r="AK455" s="86" t="str">
        <f>HYPERLINK("https://yt3.ggpht.com/kbQlXfHA0BZyzqve4NGWWJYOa5TMLToOpVJnjSRbtmJHed1wmDKrZw1iHhGxLwpIcZZJ7XigJg=s88-c-k-c0x00ffffff-no-rj")</f>
        <v>https://yt3.ggpht.com/kbQlXfHA0BZyzqve4NGWWJYOa5TMLToOpVJnjSRbtmJHed1wmDKrZw1iHhGxLwpIcZZJ7XigJg=s88-c-k-c0x00ffffff-no-rj</v>
      </c>
      <c r="AL455" s="81">
        <v>0</v>
      </c>
      <c r="AM455" s="81">
        <v>0</v>
      </c>
      <c r="AN455" s="81">
        <v>9</v>
      </c>
      <c r="AO455" s="81" t="b">
        <v>0</v>
      </c>
      <c r="AP455" s="81">
        <v>0</v>
      </c>
      <c r="AQ455" s="81"/>
      <c r="AR455" s="81"/>
      <c r="AS455" s="81" t="s">
        <v>3378</v>
      </c>
      <c r="AT455" s="86" t="str">
        <f>HYPERLINK("https://www.youtube.com/channel/UCKjOKIhkYRu2WtTUQ6rXXLw")</f>
        <v>https://www.youtube.com/channel/UCKjOKIhkYRu2WtTUQ6rXXLw</v>
      </c>
      <c r="AU455" s="81" t="str">
        <f>REPLACE(INDEX(GroupVertices[Group],MATCH("~"&amp;Vertices[[#This Row],[Vertex]],GroupVertices[Vertex],0)),1,1,"")</f>
        <v>2</v>
      </c>
      <c r="AV455" s="49"/>
      <c r="AW455" s="49"/>
      <c r="AX455" s="49"/>
      <c r="AY455" s="49"/>
      <c r="AZ455" s="49"/>
      <c r="BA455" s="49"/>
      <c r="BB455" s="117" t="s">
        <v>4114</v>
      </c>
      <c r="BC455" s="117" t="s">
        <v>4114</v>
      </c>
      <c r="BD455" s="117" t="s">
        <v>4801</v>
      </c>
      <c r="BE455" s="117" t="s">
        <v>4801</v>
      </c>
      <c r="BF455" s="2"/>
      <c r="BG455" s="3"/>
      <c r="BH455" s="3"/>
      <c r="BI455" s="3"/>
      <c r="BJ455" s="3"/>
    </row>
    <row r="456" spans="1:62" ht="15">
      <c r="A456" s="66" t="s">
        <v>645</v>
      </c>
      <c r="B456" s="67"/>
      <c r="C456" s="67"/>
      <c r="D456" s="68">
        <v>50</v>
      </c>
      <c r="E456" s="70"/>
      <c r="F456" s="105" t="str">
        <f>HYPERLINK("https://yt3.ggpht.com/ytc/AIf8zZQaXWCsGxpby5yGF6nvUrLZV99AMQCPpDprWql6=s88-c-k-c0x00ffffff-no-rj")</f>
        <v>https://yt3.ggpht.com/ytc/AIf8zZQaXWCsGxpby5yGF6nvUrLZV99AMQCPpDprWql6=s88-c-k-c0x00ffffff-no-rj</v>
      </c>
      <c r="G456" s="67"/>
      <c r="H456" s="71" t="s">
        <v>2877</v>
      </c>
      <c r="I456" s="72"/>
      <c r="J456" s="72" t="s">
        <v>159</v>
      </c>
      <c r="K456" s="71" t="s">
        <v>2877</v>
      </c>
      <c r="L456" s="75">
        <v>1</v>
      </c>
      <c r="M456" s="76">
        <v>1556.391357421875</v>
      </c>
      <c r="N456" s="76">
        <v>3571.81884765625</v>
      </c>
      <c r="O456" s="77"/>
      <c r="P456" s="78"/>
      <c r="Q456" s="78"/>
      <c r="R456" s="90"/>
      <c r="S456" s="49">
        <v>0</v>
      </c>
      <c r="T456" s="49">
        <v>1</v>
      </c>
      <c r="U456" s="50">
        <v>0</v>
      </c>
      <c r="V456" s="50">
        <v>0.220416</v>
      </c>
      <c r="W456" s="51"/>
      <c r="X456" s="51"/>
      <c r="Y456" s="51"/>
      <c r="Z456" s="50"/>
      <c r="AA456" s="73">
        <v>456</v>
      </c>
      <c r="AB456" s="73"/>
      <c r="AC456" s="74"/>
      <c r="AD456" s="81" t="s">
        <v>2877</v>
      </c>
      <c r="AE456" s="81"/>
      <c r="AF456" s="81"/>
      <c r="AG456" s="81"/>
      <c r="AH456" s="81"/>
      <c r="AI456" s="81" t="s">
        <v>2111</v>
      </c>
      <c r="AJ456" s="88">
        <v>41599.024513888886</v>
      </c>
      <c r="AK456" s="86" t="str">
        <f>HYPERLINK("https://yt3.ggpht.com/ytc/AIf8zZQaXWCsGxpby5yGF6nvUrLZV99AMQCPpDprWql6=s88-c-k-c0x00ffffff-no-rj")</f>
        <v>https://yt3.ggpht.com/ytc/AIf8zZQaXWCsGxpby5yGF6nvUrLZV99AMQCPpDprWql6=s88-c-k-c0x00ffffff-no-rj</v>
      </c>
      <c r="AL456" s="81">
        <v>0</v>
      </c>
      <c r="AM456" s="81">
        <v>0</v>
      </c>
      <c r="AN456" s="81">
        <v>0</v>
      </c>
      <c r="AO456" s="81" t="b">
        <v>0</v>
      </c>
      <c r="AP456" s="81">
        <v>0</v>
      </c>
      <c r="AQ456" s="81"/>
      <c r="AR456" s="81"/>
      <c r="AS456" s="81" t="s">
        <v>3378</v>
      </c>
      <c r="AT456" s="86" t="str">
        <f>HYPERLINK("https://www.youtube.com/channel/UCJVBtqGARZMuj27oWqHNPPg")</f>
        <v>https://www.youtube.com/channel/UCJVBtqGARZMuj27oWqHNPPg</v>
      </c>
      <c r="AU456" s="81" t="str">
        <f>REPLACE(INDEX(GroupVertices[Group],MATCH("~"&amp;Vertices[[#This Row],[Vertex]],GroupVertices[Vertex],0)),1,1,"")</f>
        <v>2</v>
      </c>
      <c r="AV456" s="49"/>
      <c r="AW456" s="49"/>
      <c r="AX456" s="49"/>
      <c r="AY456" s="49"/>
      <c r="AZ456" s="49"/>
      <c r="BA456" s="49"/>
      <c r="BB456" s="117" t="s">
        <v>4115</v>
      </c>
      <c r="BC456" s="117" t="s">
        <v>4115</v>
      </c>
      <c r="BD456" s="117" t="s">
        <v>4802</v>
      </c>
      <c r="BE456" s="117" t="s">
        <v>4802</v>
      </c>
      <c r="BF456" s="2"/>
      <c r="BG456" s="3"/>
      <c r="BH456" s="3"/>
      <c r="BI456" s="3"/>
      <c r="BJ456" s="3"/>
    </row>
    <row r="457" spans="1:62" ht="15">
      <c r="A457" s="66" t="s">
        <v>646</v>
      </c>
      <c r="B457" s="67"/>
      <c r="C457" s="67"/>
      <c r="D457" s="68">
        <v>50</v>
      </c>
      <c r="E457" s="70"/>
      <c r="F457" s="105" t="str">
        <f>HYPERLINK("https://yt3.ggpht.com/ytc/AIf8zZQSsOlc8K31QAJzUJIrqQPBjydmAvqnf18x4A=s88-c-k-c0x00ffffff-no-rj")</f>
        <v>https://yt3.ggpht.com/ytc/AIf8zZQSsOlc8K31QAJzUJIrqQPBjydmAvqnf18x4A=s88-c-k-c0x00ffffff-no-rj</v>
      </c>
      <c r="G457" s="67"/>
      <c r="H457" s="71" t="s">
        <v>2878</v>
      </c>
      <c r="I457" s="72"/>
      <c r="J457" s="72" t="s">
        <v>159</v>
      </c>
      <c r="K457" s="71" t="s">
        <v>2878</v>
      </c>
      <c r="L457" s="75">
        <v>1</v>
      </c>
      <c r="M457" s="76">
        <v>2318.6611328125</v>
      </c>
      <c r="N457" s="76">
        <v>2906.627685546875</v>
      </c>
      <c r="O457" s="77"/>
      <c r="P457" s="78"/>
      <c r="Q457" s="78"/>
      <c r="R457" s="90"/>
      <c r="S457" s="49">
        <v>0</v>
      </c>
      <c r="T457" s="49">
        <v>1</v>
      </c>
      <c r="U457" s="50">
        <v>0</v>
      </c>
      <c r="V457" s="50">
        <v>0.220416</v>
      </c>
      <c r="W457" s="51"/>
      <c r="X457" s="51"/>
      <c r="Y457" s="51"/>
      <c r="Z457" s="50"/>
      <c r="AA457" s="73">
        <v>457</v>
      </c>
      <c r="AB457" s="73"/>
      <c r="AC457" s="74"/>
      <c r="AD457" s="81" t="s">
        <v>2878</v>
      </c>
      <c r="AE457" s="81"/>
      <c r="AF457" s="81"/>
      <c r="AG457" s="81"/>
      <c r="AH457" s="81"/>
      <c r="AI457" s="81" t="s">
        <v>2112</v>
      </c>
      <c r="AJ457" s="88">
        <v>40980.05315972222</v>
      </c>
      <c r="AK457" s="86" t="str">
        <f>HYPERLINK("https://yt3.ggpht.com/ytc/AIf8zZQSsOlc8K31QAJzUJIrqQPBjydmAvqnf18x4A=s88-c-k-c0x00ffffff-no-rj")</f>
        <v>https://yt3.ggpht.com/ytc/AIf8zZQSsOlc8K31QAJzUJIrqQPBjydmAvqnf18x4A=s88-c-k-c0x00ffffff-no-rj</v>
      </c>
      <c r="AL457" s="81">
        <v>0</v>
      </c>
      <c r="AM457" s="81">
        <v>0</v>
      </c>
      <c r="AN457" s="81">
        <v>0</v>
      </c>
      <c r="AO457" s="81" t="b">
        <v>0</v>
      </c>
      <c r="AP457" s="81">
        <v>0</v>
      </c>
      <c r="AQ457" s="81"/>
      <c r="AR457" s="81"/>
      <c r="AS457" s="81" t="s">
        <v>3378</v>
      </c>
      <c r="AT457" s="86" t="str">
        <f>HYPERLINK("https://www.youtube.com/channel/UCW957N32DXhPvvf2q1DI1Ug")</f>
        <v>https://www.youtube.com/channel/UCW957N32DXhPvvf2q1DI1Ug</v>
      </c>
      <c r="AU457" s="81" t="str">
        <f>REPLACE(INDEX(GroupVertices[Group],MATCH("~"&amp;Vertices[[#This Row],[Vertex]],GroupVertices[Vertex],0)),1,1,"")</f>
        <v>2</v>
      </c>
      <c r="AV457" s="49"/>
      <c r="AW457" s="49"/>
      <c r="AX457" s="49"/>
      <c r="AY457" s="49"/>
      <c r="AZ457" s="49"/>
      <c r="BA457" s="49"/>
      <c r="BB457" s="117" t="s">
        <v>4116</v>
      </c>
      <c r="BC457" s="117" t="s">
        <v>4116</v>
      </c>
      <c r="BD457" s="117" t="s">
        <v>4803</v>
      </c>
      <c r="BE457" s="117" t="s">
        <v>4803</v>
      </c>
      <c r="BF457" s="2"/>
      <c r="BG457" s="3"/>
      <c r="BH457" s="3"/>
      <c r="BI457" s="3"/>
      <c r="BJ457" s="3"/>
    </row>
    <row r="458" spans="1:62" ht="15">
      <c r="A458" s="66" t="s">
        <v>647</v>
      </c>
      <c r="B458" s="67"/>
      <c r="C458" s="67"/>
      <c r="D458" s="68">
        <v>50</v>
      </c>
      <c r="E458" s="70"/>
      <c r="F458" s="105" t="str">
        <f>HYPERLINK("https://yt3.ggpht.com/zj68aXZPgQhdMkHrVssPjvHTkx10KYTkTC7GC2WhHAHKTR59Uw3yLBxgqeFMx5YnO2QW2T4m0iI=s88-c-k-c0x00ffffff-no-rj")</f>
        <v>https://yt3.ggpht.com/zj68aXZPgQhdMkHrVssPjvHTkx10KYTkTC7GC2WhHAHKTR59Uw3yLBxgqeFMx5YnO2QW2T4m0iI=s88-c-k-c0x00ffffff-no-rj</v>
      </c>
      <c r="G458" s="67"/>
      <c r="H458" s="71" t="s">
        <v>2879</v>
      </c>
      <c r="I458" s="72"/>
      <c r="J458" s="72" t="s">
        <v>159</v>
      </c>
      <c r="K458" s="71" t="s">
        <v>2879</v>
      </c>
      <c r="L458" s="75">
        <v>1</v>
      </c>
      <c r="M458" s="76">
        <v>2291.667236328125</v>
      </c>
      <c r="N458" s="76">
        <v>1136.5880126953125</v>
      </c>
      <c r="O458" s="77"/>
      <c r="P458" s="78"/>
      <c r="Q458" s="78"/>
      <c r="R458" s="90"/>
      <c r="S458" s="49">
        <v>0</v>
      </c>
      <c r="T458" s="49">
        <v>1</v>
      </c>
      <c r="U458" s="50">
        <v>0</v>
      </c>
      <c r="V458" s="50">
        <v>0.220416</v>
      </c>
      <c r="W458" s="51"/>
      <c r="X458" s="51"/>
      <c r="Y458" s="51"/>
      <c r="Z458" s="50"/>
      <c r="AA458" s="73">
        <v>458</v>
      </c>
      <c r="AB458" s="73"/>
      <c r="AC458" s="74"/>
      <c r="AD458" s="81" t="s">
        <v>2879</v>
      </c>
      <c r="AE458" s="81"/>
      <c r="AF458" s="81"/>
      <c r="AG458" s="81"/>
      <c r="AH458" s="81"/>
      <c r="AI458" s="81" t="s">
        <v>2113</v>
      </c>
      <c r="AJ458" s="88">
        <v>41048.90635416667</v>
      </c>
      <c r="AK458" s="86" t="str">
        <f>HYPERLINK("https://yt3.ggpht.com/zj68aXZPgQhdMkHrVssPjvHTkx10KYTkTC7GC2WhHAHKTR59Uw3yLBxgqeFMx5YnO2QW2T4m0iI=s88-c-k-c0x00ffffff-no-rj")</f>
        <v>https://yt3.ggpht.com/zj68aXZPgQhdMkHrVssPjvHTkx10KYTkTC7GC2WhHAHKTR59Uw3yLBxgqeFMx5YnO2QW2T4m0iI=s88-c-k-c0x00ffffff-no-rj</v>
      </c>
      <c r="AL458" s="81">
        <v>0</v>
      </c>
      <c r="AM458" s="81">
        <v>0</v>
      </c>
      <c r="AN458" s="81">
        <v>0</v>
      </c>
      <c r="AO458" s="81" t="b">
        <v>0</v>
      </c>
      <c r="AP458" s="81">
        <v>0</v>
      </c>
      <c r="AQ458" s="81"/>
      <c r="AR458" s="81"/>
      <c r="AS458" s="81" t="s">
        <v>3378</v>
      </c>
      <c r="AT458" s="86" t="str">
        <f>HYPERLINK("https://www.youtube.com/channel/UCqJGgTgnNURESZKCydR5oug")</f>
        <v>https://www.youtube.com/channel/UCqJGgTgnNURESZKCydR5oug</v>
      </c>
      <c r="AU458" s="81" t="str">
        <f>REPLACE(INDEX(GroupVertices[Group],MATCH("~"&amp;Vertices[[#This Row],[Vertex]],GroupVertices[Vertex],0)),1,1,"")</f>
        <v>2</v>
      </c>
      <c r="AV458" s="49"/>
      <c r="AW458" s="49"/>
      <c r="AX458" s="49"/>
      <c r="AY458" s="49"/>
      <c r="AZ458" s="49"/>
      <c r="BA458" s="49"/>
      <c r="BB458" s="117" t="s">
        <v>4117</v>
      </c>
      <c r="BC458" s="117" t="s">
        <v>4117</v>
      </c>
      <c r="BD458" s="117" t="s">
        <v>4804</v>
      </c>
      <c r="BE458" s="117" t="s">
        <v>4804</v>
      </c>
      <c r="BF458" s="2"/>
      <c r="BG458" s="3"/>
      <c r="BH458" s="3"/>
      <c r="BI458" s="3"/>
      <c r="BJ458" s="3"/>
    </row>
    <row r="459" spans="1:62" ht="15">
      <c r="A459" s="66" t="s">
        <v>648</v>
      </c>
      <c r="B459" s="67"/>
      <c r="C459" s="67"/>
      <c r="D459" s="68">
        <v>50</v>
      </c>
      <c r="E459" s="70"/>
      <c r="F459" s="105" t="str">
        <f>HYPERLINK("https://yt3.ggpht.com/ytc/AIf8zZT0hejumBao7F09OoQ8oho-eAsTTuh-g3xmIrFi=s88-c-k-c0x00ffffff-no-rj")</f>
        <v>https://yt3.ggpht.com/ytc/AIf8zZT0hejumBao7F09OoQ8oho-eAsTTuh-g3xmIrFi=s88-c-k-c0x00ffffff-no-rj</v>
      </c>
      <c r="G459" s="67"/>
      <c r="H459" s="71" t="s">
        <v>2880</v>
      </c>
      <c r="I459" s="72"/>
      <c r="J459" s="72" t="s">
        <v>159</v>
      </c>
      <c r="K459" s="71" t="s">
        <v>2880</v>
      </c>
      <c r="L459" s="75">
        <v>1</v>
      </c>
      <c r="M459" s="76">
        <v>2706.18603515625</v>
      </c>
      <c r="N459" s="76">
        <v>593.92431640625</v>
      </c>
      <c r="O459" s="77"/>
      <c r="P459" s="78"/>
      <c r="Q459" s="78"/>
      <c r="R459" s="90"/>
      <c r="S459" s="49">
        <v>0</v>
      </c>
      <c r="T459" s="49">
        <v>1</v>
      </c>
      <c r="U459" s="50">
        <v>0</v>
      </c>
      <c r="V459" s="50">
        <v>0.220416</v>
      </c>
      <c r="W459" s="51"/>
      <c r="X459" s="51"/>
      <c r="Y459" s="51"/>
      <c r="Z459" s="50"/>
      <c r="AA459" s="73">
        <v>459</v>
      </c>
      <c r="AB459" s="73"/>
      <c r="AC459" s="74"/>
      <c r="AD459" s="81" t="s">
        <v>2880</v>
      </c>
      <c r="AE459" s="81"/>
      <c r="AF459" s="81"/>
      <c r="AG459" s="81"/>
      <c r="AH459" s="81"/>
      <c r="AI459" s="81" t="s">
        <v>2114</v>
      </c>
      <c r="AJ459" s="88">
        <v>40840.942199074074</v>
      </c>
      <c r="AK459" s="86" t="str">
        <f>HYPERLINK("https://yt3.ggpht.com/ytc/AIf8zZT0hejumBao7F09OoQ8oho-eAsTTuh-g3xmIrFi=s88-c-k-c0x00ffffff-no-rj")</f>
        <v>https://yt3.ggpht.com/ytc/AIf8zZT0hejumBao7F09OoQ8oho-eAsTTuh-g3xmIrFi=s88-c-k-c0x00ffffff-no-rj</v>
      </c>
      <c r="AL459" s="81">
        <v>0</v>
      </c>
      <c r="AM459" s="81">
        <v>0</v>
      </c>
      <c r="AN459" s="81">
        <v>1</v>
      </c>
      <c r="AO459" s="81" t="b">
        <v>0</v>
      </c>
      <c r="AP459" s="81">
        <v>0</v>
      </c>
      <c r="AQ459" s="81"/>
      <c r="AR459" s="81"/>
      <c r="AS459" s="81" t="s">
        <v>3378</v>
      </c>
      <c r="AT459" s="86" t="str">
        <f>HYPERLINK("https://www.youtube.com/channel/UCoaoT4HBa-brA_lN59WulXw")</f>
        <v>https://www.youtube.com/channel/UCoaoT4HBa-brA_lN59WulXw</v>
      </c>
      <c r="AU459" s="81" t="str">
        <f>REPLACE(INDEX(GroupVertices[Group],MATCH("~"&amp;Vertices[[#This Row],[Vertex]],GroupVertices[Vertex],0)),1,1,"")</f>
        <v>2</v>
      </c>
      <c r="AV459" s="49"/>
      <c r="AW459" s="49"/>
      <c r="AX459" s="49"/>
      <c r="AY459" s="49"/>
      <c r="AZ459" s="49"/>
      <c r="BA459" s="49"/>
      <c r="BB459" s="117" t="s">
        <v>4118</v>
      </c>
      <c r="BC459" s="117" t="s">
        <v>4118</v>
      </c>
      <c r="BD459" s="117" t="s">
        <v>4805</v>
      </c>
      <c r="BE459" s="117" t="s">
        <v>4805</v>
      </c>
      <c r="BF459" s="2"/>
      <c r="BG459" s="3"/>
      <c r="BH459" s="3"/>
      <c r="BI459" s="3"/>
      <c r="BJ459" s="3"/>
    </row>
    <row r="460" spans="1:62" ht="15">
      <c r="A460" s="66" t="s">
        <v>650</v>
      </c>
      <c r="B460" s="67"/>
      <c r="C460" s="67"/>
      <c r="D460" s="68">
        <v>50</v>
      </c>
      <c r="E460" s="70"/>
      <c r="F460" s="105" t="str">
        <f>HYPERLINK("https://yt3.ggpht.com/ytc/AIf8zZRb2-Ka8YeYrn4Ngs1FCq332skm1lT0vStO4A=s88-c-k-c0x00ffffff-no-rj")</f>
        <v>https://yt3.ggpht.com/ytc/AIf8zZRb2-Ka8YeYrn4Ngs1FCq332skm1lT0vStO4A=s88-c-k-c0x00ffffff-no-rj</v>
      </c>
      <c r="G460" s="67"/>
      <c r="H460" s="71" t="s">
        <v>2882</v>
      </c>
      <c r="I460" s="72"/>
      <c r="J460" s="72" t="s">
        <v>159</v>
      </c>
      <c r="K460" s="71" t="s">
        <v>2882</v>
      </c>
      <c r="L460" s="75">
        <v>1</v>
      </c>
      <c r="M460" s="76">
        <v>327.04376220703125</v>
      </c>
      <c r="N460" s="76">
        <v>1039.64111328125</v>
      </c>
      <c r="O460" s="77"/>
      <c r="P460" s="78"/>
      <c r="Q460" s="78"/>
      <c r="R460" s="90"/>
      <c r="S460" s="49">
        <v>0</v>
      </c>
      <c r="T460" s="49">
        <v>1</v>
      </c>
      <c r="U460" s="50">
        <v>0</v>
      </c>
      <c r="V460" s="50">
        <v>0.220416</v>
      </c>
      <c r="W460" s="51"/>
      <c r="X460" s="51"/>
      <c r="Y460" s="51"/>
      <c r="Z460" s="50"/>
      <c r="AA460" s="73">
        <v>460</v>
      </c>
      <c r="AB460" s="73"/>
      <c r="AC460" s="74"/>
      <c r="AD460" s="81" t="s">
        <v>2882</v>
      </c>
      <c r="AE460" s="81"/>
      <c r="AF460" s="81"/>
      <c r="AG460" s="81"/>
      <c r="AH460" s="81"/>
      <c r="AI460" s="81" t="s">
        <v>2116</v>
      </c>
      <c r="AJ460" s="88">
        <v>40862.0578125</v>
      </c>
      <c r="AK460" s="86" t="str">
        <f>HYPERLINK("https://yt3.ggpht.com/ytc/AIf8zZRb2-Ka8YeYrn4Ngs1FCq332skm1lT0vStO4A=s88-c-k-c0x00ffffff-no-rj")</f>
        <v>https://yt3.ggpht.com/ytc/AIf8zZRb2-Ka8YeYrn4Ngs1FCq332skm1lT0vStO4A=s88-c-k-c0x00ffffff-no-rj</v>
      </c>
      <c r="AL460" s="81">
        <v>0</v>
      </c>
      <c r="AM460" s="81">
        <v>0</v>
      </c>
      <c r="AN460" s="81">
        <v>0</v>
      </c>
      <c r="AO460" s="81" t="b">
        <v>0</v>
      </c>
      <c r="AP460" s="81">
        <v>0</v>
      </c>
      <c r="AQ460" s="81"/>
      <c r="AR460" s="81"/>
      <c r="AS460" s="81" t="s">
        <v>3378</v>
      </c>
      <c r="AT460" s="86" t="str">
        <f>HYPERLINK("https://www.youtube.com/channel/UCvsjG3q3XEkUsxgrcjh4gXA")</f>
        <v>https://www.youtube.com/channel/UCvsjG3q3XEkUsxgrcjh4gXA</v>
      </c>
      <c r="AU460" s="81" t="str">
        <f>REPLACE(INDEX(GroupVertices[Group],MATCH("~"&amp;Vertices[[#This Row],[Vertex]],GroupVertices[Vertex],0)),1,1,"")</f>
        <v>2</v>
      </c>
      <c r="AV460" s="49"/>
      <c r="AW460" s="49"/>
      <c r="AX460" s="49"/>
      <c r="AY460" s="49"/>
      <c r="AZ460" s="49"/>
      <c r="BA460" s="49"/>
      <c r="BB460" s="117" t="s">
        <v>4120</v>
      </c>
      <c r="BC460" s="117" t="s">
        <v>4120</v>
      </c>
      <c r="BD460" s="117" t="s">
        <v>4807</v>
      </c>
      <c r="BE460" s="117" t="s">
        <v>4807</v>
      </c>
      <c r="BF460" s="2"/>
      <c r="BG460" s="3"/>
      <c r="BH460" s="3"/>
      <c r="BI460" s="3"/>
      <c r="BJ460" s="3"/>
    </row>
    <row r="461" spans="1:62" ht="15">
      <c r="A461" s="66" t="s">
        <v>651</v>
      </c>
      <c r="B461" s="67"/>
      <c r="C461" s="67"/>
      <c r="D461" s="68">
        <v>50</v>
      </c>
      <c r="E461" s="70"/>
      <c r="F461" s="105" t="str">
        <f>HYPERLINK("https://yt3.ggpht.com/ytc/AIf8zZQunOOnsBzSVsoHI52od-MffEd4UpQSD0hi-jOtjg=s88-c-k-c0x00ffffff-no-rj")</f>
        <v>https://yt3.ggpht.com/ytc/AIf8zZQunOOnsBzSVsoHI52od-MffEd4UpQSD0hi-jOtjg=s88-c-k-c0x00ffffff-no-rj</v>
      </c>
      <c r="G461" s="67"/>
      <c r="H461" s="71" t="s">
        <v>2883</v>
      </c>
      <c r="I461" s="72"/>
      <c r="J461" s="72" t="s">
        <v>159</v>
      </c>
      <c r="K461" s="71" t="s">
        <v>2883</v>
      </c>
      <c r="L461" s="75">
        <v>1</v>
      </c>
      <c r="M461" s="76">
        <v>166.31031799316406</v>
      </c>
      <c r="N461" s="76">
        <v>2305.892578125</v>
      </c>
      <c r="O461" s="77"/>
      <c r="P461" s="78"/>
      <c r="Q461" s="78"/>
      <c r="R461" s="90"/>
      <c r="S461" s="49">
        <v>0</v>
      </c>
      <c r="T461" s="49">
        <v>1</v>
      </c>
      <c r="U461" s="50">
        <v>0</v>
      </c>
      <c r="V461" s="50">
        <v>0.220416</v>
      </c>
      <c r="W461" s="51"/>
      <c r="X461" s="51"/>
      <c r="Y461" s="51"/>
      <c r="Z461" s="50"/>
      <c r="AA461" s="73">
        <v>461</v>
      </c>
      <c r="AB461" s="73"/>
      <c r="AC461" s="74"/>
      <c r="AD461" s="81" t="s">
        <v>2883</v>
      </c>
      <c r="AE461" s="81"/>
      <c r="AF461" s="81"/>
      <c r="AG461" s="81"/>
      <c r="AH461" s="81"/>
      <c r="AI461" s="81" t="s">
        <v>2117</v>
      </c>
      <c r="AJ461" s="88">
        <v>40559.92521990741</v>
      </c>
      <c r="AK461" s="86" t="str">
        <f>HYPERLINK("https://yt3.ggpht.com/ytc/AIf8zZQunOOnsBzSVsoHI52od-MffEd4UpQSD0hi-jOtjg=s88-c-k-c0x00ffffff-no-rj")</f>
        <v>https://yt3.ggpht.com/ytc/AIf8zZQunOOnsBzSVsoHI52od-MffEd4UpQSD0hi-jOtjg=s88-c-k-c0x00ffffff-no-rj</v>
      </c>
      <c r="AL461" s="81">
        <v>0</v>
      </c>
      <c r="AM461" s="81">
        <v>0</v>
      </c>
      <c r="AN461" s="81">
        <v>0</v>
      </c>
      <c r="AO461" s="81" t="b">
        <v>0</v>
      </c>
      <c r="AP461" s="81">
        <v>0</v>
      </c>
      <c r="AQ461" s="81"/>
      <c r="AR461" s="81"/>
      <c r="AS461" s="81" t="s">
        <v>3378</v>
      </c>
      <c r="AT461" s="86" t="str">
        <f>HYPERLINK("https://www.youtube.com/channel/UCph6ZiZvmteyK2atIj666Xw")</f>
        <v>https://www.youtube.com/channel/UCph6ZiZvmteyK2atIj666Xw</v>
      </c>
      <c r="AU461" s="81" t="str">
        <f>REPLACE(INDEX(GroupVertices[Group],MATCH("~"&amp;Vertices[[#This Row],[Vertex]],GroupVertices[Vertex],0)),1,1,"")</f>
        <v>2</v>
      </c>
      <c r="AV461" s="49"/>
      <c r="AW461" s="49"/>
      <c r="AX461" s="49"/>
      <c r="AY461" s="49"/>
      <c r="AZ461" s="49"/>
      <c r="BA461" s="49"/>
      <c r="BB461" s="117" t="s">
        <v>4121</v>
      </c>
      <c r="BC461" s="117" t="s">
        <v>4121</v>
      </c>
      <c r="BD461" s="117" t="s">
        <v>4808</v>
      </c>
      <c r="BE461" s="117" t="s">
        <v>4808</v>
      </c>
      <c r="BF461" s="2"/>
      <c r="BG461" s="3"/>
      <c r="BH461" s="3"/>
      <c r="BI461" s="3"/>
      <c r="BJ461" s="3"/>
    </row>
    <row r="462" spans="1:62" ht="15">
      <c r="A462" s="66" t="s">
        <v>652</v>
      </c>
      <c r="B462" s="67"/>
      <c r="C462" s="67"/>
      <c r="D462" s="68">
        <v>50</v>
      </c>
      <c r="E462" s="70"/>
      <c r="F462" s="105" t="str">
        <f>HYPERLINK("https://yt3.ggpht.com/ytc/AIf8zZRyy8TiR0TgSOfI7J8OuDGFdhmnjRLakbM4LQ=s88-c-k-c0x00ffffff-no-rj")</f>
        <v>https://yt3.ggpht.com/ytc/AIf8zZRyy8TiR0TgSOfI7J8OuDGFdhmnjRLakbM4LQ=s88-c-k-c0x00ffffff-no-rj</v>
      </c>
      <c r="G462" s="67"/>
      <c r="H462" s="71" t="s">
        <v>2884</v>
      </c>
      <c r="I462" s="72"/>
      <c r="J462" s="72" t="s">
        <v>159</v>
      </c>
      <c r="K462" s="71" t="s">
        <v>2884</v>
      </c>
      <c r="L462" s="75">
        <v>1</v>
      </c>
      <c r="M462" s="76">
        <v>475.5652160644531</v>
      </c>
      <c r="N462" s="76">
        <v>833.58056640625</v>
      </c>
      <c r="O462" s="77"/>
      <c r="P462" s="78"/>
      <c r="Q462" s="78"/>
      <c r="R462" s="90"/>
      <c r="S462" s="49">
        <v>0</v>
      </c>
      <c r="T462" s="49">
        <v>1</v>
      </c>
      <c r="U462" s="50">
        <v>0</v>
      </c>
      <c r="V462" s="50">
        <v>0.220416</v>
      </c>
      <c r="W462" s="51"/>
      <c r="X462" s="51"/>
      <c r="Y462" s="51"/>
      <c r="Z462" s="50"/>
      <c r="AA462" s="73">
        <v>462</v>
      </c>
      <c r="AB462" s="73"/>
      <c r="AC462" s="74"/>
      <c r="AD462" s="81" t="s">
        <v>2884</v>
      </c>
      <c r="AE462" s="81"/>
      <c r="AF462" s="81"/>
      <c r="AG462" s="81"/>
      <c r="AH462" s="81"/>
      <c r="AI462" s="81" t="s">
        <v>2118</v>
      </c>
      <c r="AJ462" s="88">
        <v>40859.88434027778</v>
      </c>
      <c r="AK462" s="86" t="str">
        <f>HYPERLINK("https://yt3.ggpht.com/ytc/AIf8zZRyy8TiR0TgSOfI7J8OuDGFdhmnjRLakbM4LQ=s88-c-k-c0x00ffffff-no-rj")</f>
        <v>https://yt3.ggpht.com/ytc/AIf8zZRyy8TiR0TgSOfI7J8OuDGFdhmnjRLakbM4LQ=s88-c-k-c0x00ffffff-no-rj</v>
      </c>
      <c r="AL462" s="81">
        <v>0</v>
      </c>
      <c r="AM462" s="81">
        <v>0</v>
      </c>
      <c r="AN462" s="81">
        <v>0</v>
      </c>
      <c r="AO462" s="81" t="b">
        <v>0</v>
      </c>
      <c r="AP462" s="81">
        <v>0</v>
      </c>
      <c r="AQ462" s="81"/>
      <c r="AR462" s="81"/>
      <c r="AS462" s="81" t="s">
        <v>3378</v>
      </c>
      <c r="AT462" s="86" t="str">
        <f>HYPERLINK("https://www.youtube.com/channel/UCgYLRYIJb9KnxdayIRaIfmg")</f>
        <v>https://www.youtube.com/channel/UCgYLRYIJb9KnxdayIRaIfmg</v>
      </c>
      <c r="AU462" s="81" t="str">
        <f>REPLACE(INDEX(GroupVertices[Group],MATCH("~"&amp;Vertices[[#This Row],[Vertex]],GroupVertices[Vertex],0)),1,1,"")</f>
        <v>2</v>
      </c>
      <c r="AV462" s="49"/>
      <c r="AW462" s="49"/>
      <c r="AX462" s="49"/>
      <c r="AY462" s="49"/>
      <c r="AZ462" s="49"/>
      <c r="BA462" s="49"/>
      <c r="BB462" s="117" t="s">
        <v>4122</v>
      </c>
      <c r="BC462" s="117" t="s">
        <v>4122</v>
      </c>
      <c r="BD462" s="117" t="s">
        <v>4809</v>
      </c>
      <c r="BE462" s="117" t="s">
        <v>4809</v>
      </c>
      <c r="BF462" s="2"/>
      <c r="BG462" s="3"/>
      <c r="BH462" s="3"/>
      <c r="BI462" s="3"/>
      <c r="BJ462" s="3"/>
    </row>
    <row r="463" spans="1:62" ht="15">
      <c r="A463" s="66" t="s">
        <v>653</v>
      </c>
      <c r="B463" s="67"/>
      <c r="C463" s="67"/>
      <c r="D463" s="68">
        <v>50</v>
      </c>
      <c r="E463" s="70"/>
      <c r="F463" s="105" t="str">
        <f>HYPERLINK("https://yt3.ggpht.com/CPVS1gCxRyDAffJtOKATf3RzT3H1tqg4CkNMO7H_PvKyPI5QW6Ku1ndY0tXY2jiFSOcn7cnr=s88-c-k-c0x00ffffff-no-rj")</f>
        <v>https://yt3.ggpht.com/CPVS1gCxRyDAffJtOKATf3RzT3H1tqg4CkNMO7H_PvKyPI5QW6Ku1ndY0tXY2jiFSOcn7cnr=s88-c-k-c0x00ffffff-no-rj</v>
      </c>
      <c r="G463" s="67"/>
      <c r="H463" s="71" t="s">
        <v>2885</v>
      </c>
      <c r="I463" s="72"/>
      <c r="J463" s="72" t="s">
        <v>159</v>
      </c>
      <c r="K463" s="71" t="s">
        <v>2885</v>
      </c>
      <c r="L463" s="75">
        <v>1</v>
      </c>
      <c r="M463" s="76">
        <v>2903.132568359375</v>
      </c>
      <c r="N463" s="76">
        <v>417.37823486328125</v>
      </c>
      <c r="O463" s="77"/>
      <c r="P463" s="78"/>
      <c r="Q463" s="78"/>
      <c r="R463" s="90"/>
      <c r="S463" s="49">
        <v>0</v>
      </c>
      <c r="T463" s="49">
        <v>1</v>
      </c>
      <c r="U463" s="50">
        <v>0</v>
      </c>
      <c r="V463" s="50">
        <v>0.220416</v>
      </c>
      <c r="W463" s="51"/>
      <c r="X463" s="51"/>
      <c r="Y463" s="51"/>
      <c r="Z463" s="50"/>
      <c r="AA463" s="73">
        <v>463</v>
      </c>
      <c r="AB463" s="73"/>
      <c r="AC463" s="74"/>
      <c r="AD463" s="81" t="s">
        <v>2885</v>
      </c>
      <c r="AE463" s="81"/>
      <c r="AF463" s="81"/>
      <c r="AG463" s="81"/>
      <c r="AH463" s="81"/>
      <c r="AI463" s="81" t="s">
        <v>3325</v>
      </c>
      <c r="AJ463" s="88">
        <v>44956.28761574074</v>
      </c>
      <c r="AK463" s="86" t="str">
        <f>HYPERLINK("https://yt3.ggpht.com/CPVS1gCxRyDAffJtOKATf3RzT3H1tqg4CkNMO7H_PvKyPI5QW6Ku1ndY0tXY2jiFSOcn7cnr=s88-c-k-c0x00ffffff-no-rj")</f>
        <v>https://yt3.ggpht.com/CPVS1gCxRyDAffJtOKATf3RzT3H1tqg4CkNMO7H_PvKyPI5QW6Ku1ndY0tXY2jiFSOcn7cnr=s88-c-k-c0x00ffffff-no-rj</v>
      </c>
      <c r="AL463" s="81">
        <v>0</v>
      </c>
      <c r="AM463" s="81">
        <v>0</v>
      </c>
      <c r="AN463" s="81">
        <v>0</v>
      </c>
      <c r="AO463" s="81" t="b">
        <v>0</v>
      </c>
      <c r="AP463" s="81">
        <v>0</v>
      </c>
      <c r="AQ463" s="81"/>
      <c r="AR463" s="81"/>
      <c r="AS463" s="81" t="s">
        <v>3378</v>
      </c>
      <c r="AT463" s="86" t="str">
        <f>HYPERLINK("https://www.youtube.com/channel/UCnueLfboUTZDc2lSuMWEdxA")</f>
        <v>https://www.youtube.com/channel/UCnueLfboUTZDc2lSuMWEdxA</v>
      </c>
      <c r="AU463" s="81" t="str">
        <f>REPLACE(INDEX(GroupVertices[Group],MATCH("~"&amp;Vertices[[#This Row],[Vertex]],GroupVertices[Vertex],0)),1,1,"")</f>
        <v>2</v>
      </c>
      <c r="AV463" s="49"/>
      <c r="AW463" s="49"/>
      <c r="AX463" s="49"/>
      <c r="AY463" s="49"/>
      <c r="AZ463" s="49"/>
      <c r="BA463" s="49"/>
      <c r="BB463" s="117" t="s">
        <v>4123</v>
      </c>
      <c r="BC463" s="117" t="s">
        <v>4123</v>
      </c>
      <c r="BD463" s="117" t="s">
        <v>4810</v>
      </c>
      <c r="BE463" s="117" t="s">
        <v>4810</v>
      </c>
      <c r="BF463" s="2"/>
      <c r="BG463" s="3"/>
      <c r="BH463" s="3"/>
      <c r="BI463" s="3"/>
      <c r="BJ463" s="3"/>
    </row>
    <row r="464" spans="1:62" ht="15">
      <c r="A464" s="66" t="s">
        <v>654</v>
      </c>
      <c r="B464" s="67"/>
      <c r="C464" s="67"/>
      <c r="D464" s="68">
        <v>50</v>
      </c>
      <c r="E464" s="70"/>
      <c r="F464" s="105" t="str">
        <f>HYPERLINK("https://yt3.ggpht.com/ytc/AIf8zZSSWF1IWrMK-g3Xi_d9zxzTGKHcuhdxa-UgznTd_w=s88-c-k-c0x00ffffff-no-rj")</f>
        <v>https://yt3.ggpht.com/ytc/AIf8zZSSWF1IWrMK-g3Xi_d9zxzTGKHcuhdxa-UgznTd_w=s88-c-k-c0x00ffffff-no-rj</v>
      </c>
      <c r="G464" s="67"/>
      <c r="H464" s="71" t="s">
        <v>2886</v>
      </c>
      <c r="I464" s="72"/>
      <c r="J464" s="72" t="s">
        <v>159</v>
      </c>
      <c r="K464" s="71" t="s">
        <v>2886</v>
      </c>
      <c r="L464" s="75">
        <v>1</v>
      </c>
      <c r="M464" s="76">
        <v>503.9270324707031</v>
      </c>
      <c r="N464" s="76">
        <v>1647.380615234375</v>
      </c>
      <c r="O464" s="77"/>
      <c r="P464" s="78"/>
      <c r="Q464" s="78"/>
      <c r="R464" s="90"/>
      <c r="S464" s="49">
        <v>0</v>
      </c>
      <c r="T464" s="49">
        <v>1</v>
      </c>
      <c r="U464" s="50">
        <v>0</v>
      </c>
      <c r="V464" s="50">
        <v>0.220416</v>
      </c>
      <c r="W464" s="51"/>
      <c r="X464" s="51"/>
      <c r="Y464" s="51"/>
      <c r="Z464" s="50"/>
      <c r="AA464" s="73">
        <v>464</v>
      </c>
      <c r="AB464" s="73"/>
      <c r="AC464" s="74"/>
      <c r="AD464" s="81" t="s">
        <v>2886</v>
      </c>
      <c r="AE464" s="81"/>
      <c r="AF464" s="81"/>
      <c r="AG464" s="81"/>
      <c r="AH464" s="81"/>
      <c r="AI464" s="81" t="s">
        <v>2120</v>
      </c>
      <c r="AJ464" s="88">
        <v>39656.66042824074</v>
      </c>
      <c r="AK464" s="86" t="str">
        <f>HYPERLINK("https://yt3.ggpht.com/ytc/AIf8zZSSWF1IWrMK-g3Xi_d9zxzTGKHcuhdxa-UgznTd_w=s88-c-k-c0x00ffffff-no-rj")</f>
        <v>https://yt3.ggpht.com/ytc/AIf8zZSSWF1IWrMK-g3Xi_d9zxzTGKHcuhdxa-UgznTd_w=s88-c-k-c0x00ffffff-no-rj</v>
      </c>
      <c r="AL464" s="81">
        <v>1270</v>
      </c>
      <c r="AM464" s="81">
        <v>0</v>
      </c>
      <c r="AN464" s="81">
        <v>9</v>
      </c>
      <c r="AO464" s="81" t="b">
        <v>0</v>
      </c>
      <c r="AP464" s="81">
        <v>4</v>
      </c>
      <c r="AQ464" s="81"/>
      <c r="AR464" s="81"/>
      <c r="AS464" s="81" t="s">
        <v>3378</v>
      </c>
      <c r="AT464" s="86" t="str">
        <f>HYPERLINK("https://www.youtube.com/channel/UC8mNzLO1avLPfr3sF6wigJg")</f>
        <v>https://www.youtube.com/channel/UC8mNzLO1avLPfr3sF6wigJg</v>
      </c>
      <c r="AU464" s="81" t="str">
        <f>REPLACE(INDEX(GroupVertices[Group],MATCH("~"&amp;Vertices[[#This Row],[Vertex]],GroupVertices[Vertex],0)),1,1,"")</f>
        <v>2</v>
      </c>
      <c r="AV464" s="49"/>
      <c r="AW464" s="49"/>
      <c r="AX464" s="49"/>
      <c r="AY464" s="49"/>
      <c r="AZ464" s="49"/>
      <c r="BA464" s="49"/>
      <c r="BB464" s="117" t="s">
        <v>4124</v>
      </c>
      <c r="BC464" s="117" t="s">
        <v>4124</v>
      </c>
      <c r="BD464" s="117" t="s">
        <v>4811</v>
      </c>
      <c r="BE464" s="117" t="s">
        <v>4811</v>
      </c>
      <c r="BF464" s="2"/>
      <c r="BG464" s="3"/>
      <c r="BH464" s="3"/>
      <c r="BI464" s="3"/>
      <c r="BJ464" s="3"/>
    </row>
    <row r="465" spans="1:62" ht="15">
      <c r="A465" s="66" t="s">
        <v>655</v>
      </c>
      <c r="B465" s="67"/>
      <c r="C465" s="67"/>
      <c r="D465" s="68">
        <v>50</v>
      </c>
      <c r="E465" s="70"/>
      <c r="F465" s="105" t="str">
        <f>HYPERLINK("https://yt3.ggpht.com/ytc/AIf8zZS_Eu5e0MQrGL9RjCEMWPpdFpB4iSbTtrv5ETxdAw=s88-c-k-c0x00ffffff-no-rj")</f>
        <v>https://yt3.ggpht.com/ytc/AIf8zZS_Eu5e0MQrGL9RjCEMWPpdFpB4iSbTtrv5ETxdAw=s88-c-k-c0x00ffffff-no-rj</v>
      </c>
      <c r="G465" s="67"/>
      <c r="H465" s="71" t="s">
        <v>2887</v>
      </c>
      <c r="I465" s="72"/>
      <c r="J465" s="72" t="s">
        <v>159</v>
      </c>
      <c r="K465" s="71" t="s">
        <v>2887</v>
      </c>
      <c r="L465" s="75">
        <v>1</v>
      </c>
      <c r="M465" s="76">
        <v>3162.638671875</v>
      </c>
      <c r="N465" s="76">
        <v>1562.388427734375</v>
      </c>
      <c r="O465" s="77"/>
      <c r="P465" s="78"/>
      <c r="Q465" s="78"/>
      <c r="R465" s="90"/>
      <c r="S465" s="49">
        <v>0</v>
      </c>
      <c r="T465" s="49">
        <v>1</v>
      </c>
      <c r="U465" s="50">
        <v>0</v>
      </c>
      <c r="V465" s="50">
        <v>0.220416</v>
      </c>
      <c r="W465" s="51"/>
      <c r="X465" s="51"/>
      <c r="Y465" s="51"/>
      <c r="Z465" s="50"/>
      <c r="AA465" s="73">
        <v>465</v>
      </c>
      <c r="AB465" s="73"/>
      <c r="AC465" s="74"/>
      <c r="AD465" s="81" t="s">
        <v>2887</v>
      </c>
      <c r="AE465" s="81"/>
      <c r="AF465" s="81"/>
      <c r="AG465" s="81"/>
      <c r="AH465" s="81"/>
      <c r="AI465" s="81" t="s">
        <v>3326</v>
      </c>
      <c r="AJ465" s="88">
        <v>40358.91587962963</v>
      </c>
      <c r="AK465" s="86" t="str">
        <f>HYPERLINK("https://yt3.ggpht.com/ytc/AIf8zZS_Eu5e0MQrGL9RjCEMWPpdFpB4iSbTtrv5ETxdAw=s88-c-k-c0x00ffffff-no-rj")</f>
        <v>https://yt3.ggpht.com/ytc/AIf8zZS_Eu5e0MQrGL9RjCEMWPpdFpB4iSbTtrv5ETxdAw=s88-c-k-c0x00ffffff-no-rj</v>
      </c>
      <c r="AL465" s="81">
        <v>381</v>
      </c>
      <c r="AM465" s="81">
        <v>0</v>
      </c>
      <c r="AN465" s="81">
        <v>0</v>
      </c>
      <c r="AO465" s="81" t="b">
        <v>0</v>
      </c>
      <c r="AP465" s="81">
        <v>14</v>
      </c>
      <c r="AQ465" s="81"/>
      <c r="AR465" s="81"/>
      <c r="AS465" s="81" t="s">
        <v>3378</v>
      </c>
      <c r="AT465" s="86" t="str">
        <f>HYPERLINK("https://www.youtube.com/channel/UC4W_dHVgcWqOyJ28_FA2kKw")</f>
        <v>https://www.youtube.com/channel/UC4W_dHVgcWqOyJ28_FA2kKw</v>
      </c>
      <c r="AU465" s="81" t="str">
        <f>REPLACE(INDEX(GroupVertices[Group],MATCH("~"&amp;Vertices[[#This Row],[Vertex]],GroupVertices[Vertex],0)),1,1,"")</f>
        <v>2</v>
      </c>
      <c r="AV465" s="49"/>
      <c r="AW465" s="49"/>
      <c r="AX465" s="49"/>
      <c r="AY465" s="49"/>
      <c r="AZ465" s="49"/>
      <c r="BA465" s="49"/>
      <c r="BB465" s="117" t="s">
        <v>4125</v>
      </c>
      <c r="BC465" s="117" t="s">
        <v>4125</v>
      </c>
      <c r="BD465" s="117" t="s">
        <v>4812</v>
      </c>
      <c r="BE465" s="117" t="s">
        <v>4812</v>
      </c>
      <c r="BF465" s="2"/>
      <c r="BG465" s="3"/>
      <c r="BH465" s="3"/>
      <c r="BI465" s="3"/>
      <c r="BJ465" s="3"/>
    </row>
    <row r="466" spans="1:62" ht="15">
      <c r="A466" s="66" t="s">
        <v>656</v>
      </c>
      <c r="B466" s="67"/>
      <c r="C466" s="67"/>
      <c r="D466" s="68">
        <v>50</v>
      </c>
      <c r="E466" s="70"/>
      <c r="F466" s="105" t="str">
        <f>HYPERLINK("https://yt3.ggpht.com/ytc/AIf8zZTAVZd4NW_4aSQey1HSONoTNsQWvY7AoYJz4w=s88-c-k-c0x00ffffff-no-rj")</f>
        <v>https://yt3.ggpht.com/ytc/AIf8zZTAVZd4NW_4aSQey1HSONoTNsQWvY7AoYJz4w=s88-c-k-c0x00ffffff-no-rj</v>
      </c>
      <c r="G466" s="67"/>
      <c r="H466" s="71" t="s">
        <v>2888</v>
      </c>
      <c r="I466" s="72"/>
      <c r="J466" s="72" t="s">
        <v>159</v>
      </c>
      <c r="K466" s="71" t="s">
        <v>2888</v>
      </c>
      <c r="L466" s="75">
        <v>1</v>
      </c>
      <c r="M466" s="76">
        <v>3725.828125</v>
      </c>
      <c r="N466" s="76">
        <v>2068.4345703125</v>
      </c>
      <c r="O466" s="77"/>
      <c r="P466" s="78"/>
      <c r="Q466" s="78"/>
      <c r="R466" s="90"/>
      <c r="S466" s="49">
        <v>0</v>
      </c>
      <c r="T466" s="49">
        <v>1</v>
      </c>
      <c r="U466" s="50">
        <v>0</v>
      </c>
      <c r="V466" s="50">
        <v>0.220416</v>
      </c>
      <c r="W466" s="51"/>
      <c r="X466" s="51"/>
      <c r="Y466" s="51"/>
      <c r="Z466" s="50"/>
      <c r="AA466" s="73">
        <v>466</v>
      </c>
      <c r="AB466" s="73"/>
      <c r="AC466" s="74"/>
      <c r="AD466" s="81" t="s">
        <v>2888</v>
      </c>
      <c r="AE466" s="81"/>
      <c r="AF466" s="81"/>
      <c r="AG466" s="81"/>
      <c r="AH466" s="81"/>
      <c r="AI466" s="81" t="s">
        <v>3327</v>
      </c>
      <c r="AJ466" s="88">
        <v>39565.846979166665</v>
      </c>
      <c r="AK466" s="86" t="str">
        <f>HYPERLINK("https://yt3.ggpht.com/ytc/AIf8zZTAVZd4NW_4aSQey1HSONoTNsQWvY7AoYJz4w=s88-c-k-c0x00ffffff-no-rj")</f>
        <v>https://yt3.ggpht.com/ytc/AIf8zZTAVZd4NW_4aSQey1HSONoTNsQWvY7AoYJz4w=s88-c-k-c0x00ffffff-no-rj</v>
      </c>
      <c r="AL466" s="81">
        <v>0</v>
      </c>
      <c r="AM466" s="81">
        <v>0</v>
      </c>
      <c r="AN466" s="81">
        <v>1</v>
      </c>
      <c r="AO466" s="81" t="b">
        <v>0</v>
      </c>
      <c r="AP466" s="81">
        <v>0</v>
      </c>
      <c r="AQ466" s="81"/>
      <c r="AR466" s="81"/>
      <c r="AS466" s="81" t="s">
        <v>3378</v>
      </c>
      <c r="AT466" s="86" t="str">
        <f>HYPERLINK("https://www.youtube.com/channel/UCGM43GpsGVvwu6JubhbgAmg")</f>
        <v>https://www.youtube.com/channel/UCGM43GpsGVvwu6JubhbgAmg</v>
      </c>
      <c r="AU466" s="81" t="str">
        <f>REPLACE(INDEX(GroupVertices[Group],MATCH("~"&amp;Vertices[[#This Row],[Vertex]],GroupVertices[Vertex],0)),1,1,"")</f>
        <v>2</v>
      </c>
      <c r="AV466" s="49"/>
      <c r="AW466" s="49"/>
      <c r="AX466" s="49"/>
      <c r="AY466" s="49"/>
      <c r="AZ466" s="49"/>
      <c r="BA466" s="49"/>
      <c r="BB466" s="117" t="s">
        <v>4126</v>
      </c>
      <c r="BC466" s="117" t="s">
        <v>4126</v>
      </c>
      <c r="BD466" s="117" t="s">
        <v>4813</v>
      </c>
      <c r="BE466" s="117" t="s">
        <v>4813</v>
      </c>
      <c r="BF466" s="2"/>
      <c r="BG466" s="3"/>
      <c r="BH466" s="3"/>
      <c r="BI466" s="3"/>
      <c r="BJ466" s="3"/>
    </row>
    <row r="467" spans="1:62" ht="15">
      <c r="A467" s="66" t="s">
        <v>657</v>
      </c>
      <c r="B467" s="67"/>
      <c r="C467" s="67"/>
      <c r="D467" s="68">
        <v>50</v>
      </c>
      <c r="E467" s="70"/>
      <c r="F467" s="105" t="str">
        <f>HYPERLINK("https://yt3.ggpht.com/ytc/AIf8zZSlvA3cbWs1U6QthLsgg57UjYR8jZ4IGf2okA=s88-c-k-c0x00ffffff-no-rj")</f>
        <v>https://yt3.ggpht.com/ytc/AIf8zZSlvA3cbWs1U6QthLsgg57UjYR8jZ4IGf2okA=s88-c-k-c0x00ffffff-no-rj</v>
      </c>
      <c r="G467" s="67"/>
      <c r="H467" s="71" t="s">
        <v>2889</v>
      </c>
      <c r="I467" s="72"/>
      <c r="J467" s="72" t="s">
        <v>159</v>
      </c>
      <c r="K467" s="71" t="s">
        <v>2889</v>
      </c>
      <c r="L467" s="75">
        <v>1</v>
      </c>
      <c r="M467" s="76">
        <v>3029.267822265625</v>
      </c>
      <c r="N467" s="76">
        <v>3244.40576171875</v>
      </c>
      <c r="O467" s="77"/>
      <c r="P467" s="78"/>
      <c r="Q467" s="78"/>
      <c r="R467" s="90"/>
      <c r="S467" s="49">
        <v>0</v>
      </c>
      <c r="T467" s="49">
        <v>1</v>
      </c>
      <c r="U467" s="50">
        <v>0</v>
      </c>
      <c r="V467" s="50">
        <v>0.220416</v>
      </c>
      <c r="W467" s="51"/>
      <c r="X467" s="51"/>
      <c r="Y467" s="51"/>
      <c r="Z467" s="50"/>
      <c r="AA467" s="73">
        <v>467</v>
      </c>
      <c r="AB467" s="73"/>
      <c r="AC467" s="74"/>
      <c r="AD467" s="81" t="s">
        <v>2889</v>
      </c>
      <c r="AE467" s="81"/>
      <c r="AF467" s="81"/>
      <c r="AG467" s="81"/>
      <c r="AH467" s="81"/>
      <c r="AI467" s="81" t="s">
        <v>2123</v>
      </c>
      <c r="AJ467" s="88">
        <v>38849.403032407405</v>
      </c>
      <c r="AK467" s="86" t="str">
        <f>HYPERLINK("https://yt3.ggpht.com/ytc/AIf8zZSlvA3cbWs1U6QthLsgg57UjYR8jZ4IGf2okA=s88-c-k-c0x00ffffff-no-rj")</f>
        <v>https://yt3.ggpht.com/ytc/AIf8zZSlvA3cbWs1U6QthLsgg57UjYR8jZ4IGf2okA=s88-c-k-c0x00ffffff-no-rj</v>
      </c>
      <c r="AL467" s="81">
        <v>0</v>
      </c>
      <c r="AM467" s="81">
        <v>0</v>
      </c>
      <c r="AN467" s="81">
        <v>2</v>
      </c>
      <c r="AO467" s="81" t="b">
        <v>0</v>
      </c>
      <c r="AP467" s="81">
        <v>0</v>
      </c>
      <c r="AQ467" s="81"/>
      <c r="AR467" s="81"/>
      <c r="AS467" s="81" t="s">
        <v>3378</v>
      </c>
      <c r="AT467" s="86" t="str">
        <f>HYPERLINK("https://www.youtube.com/channel/UC_woIwGBmFRqhM95GpdZEcw")</f>
        <v>https://www.youtube.com/channel/UC_woIwGBmFRqhM95GpdZEcw</v>
      </c>
      <c r="AU467" s="81" t="str">
        <f>REPLACE(INDEX(GroupVertices[Group],MATCH("~"&amp;Vertices[[#This Row],[Vertex]],GroupVertices[Vertex],0)),1,1,"")</f>
        <v>2</v>
      </c>
      <c r="AV467" s="49"/>
      <c r="AW467" s="49"/>
      <c r="AX467" s="49"/>
      <c r="AY467" s="49"/>
      <c r="AZ467" s="49"/>
      <c r="BA467" s="49"/>
      <c r="BB467" s="117" t="s">
        <v>4127</v>
      </c>
      <c r="BC467" s="117" t="s">
        <v>4127</v>
      </c>
      <c r="BD467" s="117" t="s">
        <v>4814</v>
      </c>
      <c r="BE467" s="117" t="s">
        <v>4814</v>
      </c>
      <c r="BF467" s="2"/>
      <c r="BG467" s="3"/>
      <c r="BH467" s="3"/>
      <c r="BI467" s="3"/>
      <c r="BJ467" s="3"/>
    </row>
    <row r="468" spans="1:62" ht="15">
      <c r="A468" s="66" t="s">
        <v>658</v>
      </c>
      <c r="B468" s="67"/>
      <c r="C468" s="67"/>
      <c r="D468" s="68">
        <v>50</v>
      </c>
      <c r="E468" s="70"/>
      <c r="F468" s="105" t="str">
        <f>HYPERLINK("https://yt3.ggpht.com/ytc/AIf8zZQMZbFl51_EbYaXvWCN2TgvlrtWXw_GeqO1=s88-c-k-c0x00ffffff-no-rj")</f>
        <v>https://yt3.ggpht.com/ytc/AIf8zZQMZbFl51_EbYaXvWCN2TgvlrtWXw_GeqO1=s88-c-k-c0x00ffffff-no-rj</v>
      </c>
      <c r="G468" s="67"/>
      <c r="H468" s="71" t="s">
        <v>2890</v>
      </c>
      <c r="I468" s="72"/>
      <c r="J468" s="72" t="s">
        <v>159</v>
      </c>
      <c r="K468" s="71" t="s">
        <v>2890</v>
      </c>
      <c r="L468" s="75">
        <v>1</v>
      </c>
      <c r="M468" s="76">
        <v>3746.971435546875</v>
      </c>
      <c r="N468" s="76">
        <v>1742.6064453125</v>
      </c>
      <c r="O468" s="77"/>
      <c r="P468" s="78"/>
      <c r="Q468" s="78"/>
      <c r="R468" s="90"/>
      <c r="S468" s="49">
        <v>0</v>
      </c>
      <c r="T468" s="49">
        <v>1</v>
      </c>
      <c r="U468" s="50">
        <v>0</v>
      </c>
      <c r="V468" s="50">
        <v>0.220416</v>
      </c>
      <c r="W468" s="51"/>
      <c r="X468" s="51"/>
      <c r="Y468" s="51"/>
      <c r="Z468" s="50"/>
      <c r="AA468" s="73">
        <v>468</v>
      </c>
      <c r="AB468" s="73"/>
      <c r="AC468" s="74"/>
      <c r="AD468" s="81" t="s">
        <v>2890</v>
      </c>
      <c r="AE468" s="81"/>
      <c r="AF468" s="81"/>
      <c r="AG468" s="81"/>
      <c r="AH468" s="81"/>
      <c r="AI468" s="81" t="s">
        <v>2124</v>
      </c>
      <c r="AJ468" s="88">
        <v>43952.74969907408</v>
      </c>
      <c r="AK468" s="86" t="str">
        <f>HYPERLINK("https://yt3.ggpht.com/ytc/AIf8zZQMZbFl51_EbYaXvWCN2TgvlrtWXw_GeqO1=s88-c-k-c0x00ffffff-no-rj")</f>
        <v>https://yt3.ggpht.com/ytc/AIf8zZQMZbFl51_EbYaXvWCN2TgvlrtWXw_GeqO1=s88-c-k-c0x00ffffff-no-rj</v>
      </c>
      <c r="AL468" s="81">
        <v>0</v>
      </c>
      <c r="AM468" s="81">
        <v>0</v>
      </c>
      <c r="AN468" s="81">
        <v>1</v>
      </c>
      <c r="AO468" s="81" t="b">
        <v>0</v>
      </c>
      <c r="AP468" s="81">
        <v>0</v>
      </c>
      <c r="AQ468" s="81"/>
      <c r="AR468" s="81"/>
      <c r="AS468" s="81" t="s">
        <v>3378</v>
      </c>
      <c r="AT468" s="86" t="str">
        <f>HYPERLINK("https://www.youtube.com/channel/UCYZTfrs99_9oEc8FlT7xfgQ")</f>
        <v>https://www.youtube.com/channel/UCYZTfrs99_9oEc8FlT7xfgQ</v>
      </c>
      <c r="AU468" s="81" t="str">
        <f>REPLACE(INDEX(GroupVertices[Group],MATCH("~"&amp;Vertices[[#This Row],[Vertex]],GroupVertices[Vertex],0)),1,1,"")</f>
        <v>2</v>
      </c>
      <c r="AV468" s="49"/>
      <c r="AW468" s="49"/>
      <c r="AX468" s="49"/>
      <c r="AY468" s="49"/>
      <c r="AZ468" s="49"/>
      <c r="BA468" s="49"/>
      <c r="BB468" s="117" t="s">
        <v>4128</v>
      </c>
      <c r="BC468" s="117" t="s">
        <v>4128</v>
      </c>
      <c r="BD468" s="117" t="s">
        <v>4815</v>
      </c>
      <c r="BE468" s="117" t="s">
        <v>4815</v>
      </c>
      <c r="BF468" s="2"/>
      <c r="BG468" s="3"/>
      <c r="BH468" s="3"/>
      <c r="BI468" s="3"/>
      <c r="BJ468" s="3"/>
    </row>
    <row r="469" spans="1:62" ht="15">
      <c r="A469" s="66" t="s">
        <v>659</v>
      </c>
      <c r="B469" s="67"/>
      <c r="C469" s="67"/>
      <c r="D469" s="68">
        <v>50</v>
      </c>
      <c r="E469" s="70"/>
      <c r="F469" s="105" t="str">
        <f>HYPERLINK("https://yt3.ggpht.com/ytc/AIf8zZSf5iBn9FjJRjjTc37XPQEQ0tkHzrgArXfuBYJFRzF6BqlFDj9ZfRhvr8OnnTK5=s88-c-k-c0x00ffffff-no-rj")</f>
        <v>https://yt3.ggpht.com/ytc/AIf8zZSf5iBn9FjJRjjTc37XPQEQ0tkHzrgArXfuBYJFRzF6BqlFDj9ZfRhvr8OnnTK5=s88-c-k-c0x00ffffff-no-rj</v>
      </c>
      <c r="G469" s="67"/>
      <c r="H469" s="71" t="s">
        <v>2891</v>
      </c>
      <c r="I469" s="72"/>
      <c r="J469" s="72" t="s">
        <v>159</v>
      </c>
      <c r="K469" s="71" t="s">
        <v>2891</v>
      </c>
      <c r="L469" s="75">
        <v>1</v>
      </c>
      <c r="M469" s="76">
        <v>2871.037353515625</v>
      </c>
      <c r="N469" s="76">
        <v>2761.81298828125</v>
      </c>
      <c r="O469" s="77"/>
      <c r="P469" s="78"/>
      <c r="Q469" s="78"/>
      <c r="R469" s="90"/>
      <c r="S469" s="49">
        <v>0</v>
      </c>
      <c r="T469" s="49">
        <v>1</v>
      </c>
      <c r="U469" s="50">
        <v>0</v>
      </c>
      <c r="V469" s="50">
        <v>0.220416</v>
      </c>
      <c r="W469" s="51"/>
      <c r="X469" s="51"/>
      <c r="Y469" s="51"/>
      <c r="Z469" s="50"/>
      <c r="AA469" s="73">
        <v>469</v>
      </c>
      <c r="AB469" s="73"/>
      <c r="AC469" s="74"/>
      <c r="AD469" s="81" t="s">
        <v>2891</v>
      </c>
      <c r="AE469" s="81"/>
      <c r="AF469" s="81"/>
      <c r="AG469" s="81"/>
      <c r="AH469" s="81"/>
      <c r="AI469" s="81" t="s">
        <v>3328</v>
      </c>
      <c r="AJ469" s="88">
        <v>44478.088541666664</v>
      </c>
      <c r="AK469" s="86" t="str">
        <f>HYPERLINK("https://yt3.ggpht.com/ytc/AIf8zZSf5iBn9FjJRjjTc37XPQEQ0tkHzrgArXfuBYJFRzF6BqlFDj9ZfRhvr8OnnTK5=s88-c-k-c0x00ffffff-no-rj")</f>
        <v>https://yt3.ggpht.com/ytc/AIf8zZSf5iBn9FjJRjjTc37XPQEQ0tkHzrgArXfuBYJFRzF6BqlFDj9ZfRhvr8OnnTK5=s88-c-k-c0x00ffffff-no-rj</v>
      </c>
      <c r="AL469" s="81">
        <v>0</v>
      </c>
      <c r="AM469" s="81">
        <v>0</v>
      </c>
      <c r="AN469" s="81">
        <v>0</v>
      </c>
      <c r="AO469" s="81" t="b">
        <v>0</v>
      </c>
      <c r="AP469" s="81">
        <v>0</v>
      </c>
      <c r="AQ469" s="81"/>
      <c r="AR469" s="81"/>
      <c r="AS469" s="81" t="s">
        <v>3378</v>
      </c>
      <c r="AT469" s="86" t="str">
        <f>HYPERLINK("https://www.youtube.com/channel/UC8Eu4NZFw1_bxYf4ayLLi2g")</f>
        <v>https://www.youtube.com/channel/UC8Eu4NZFw1_bxYf4ayLLi2g</v>
      </c>
      <c r="AU469" s="81" t="str">
        <f>REPLACE(INDEX(GroupVertices[Group],MATCH("~"&amp;Vertices[[#This Row],[Vertex]],GroupVertices[Vertex],0)),1,1,"")</f>
        <v>2</v>
      </c>
      <c r="AV469" s="49"/>
      <c r="AW469" s="49"/>
      <c r="AX469" s="49"/>
      <c r="AY469" s="49"/>
      <c r="AZ469" s="49"/>
      <c r="BA469" s="49"/>
      <c r="BB469" s="117" t="s">
        <v>4129</v>
      </c>
      <c r="BC469" s="117" t="s">
        <v>4129</v>
      </c>
      <c r="BD469" s="117" t="s">
        <v>4816</v>
      </c>
      <c r="BE469" s="117" t="s">
        <v>4816</v>
      </c>
      <c r="BF469" s="2"/>
      <c r="BG469" s="3"/>
      <c r="BH469" s="3"/>
      <c r="BI469" s="3"/>
      <c r="BJ469" s="3"/>
    </row>
    <row r="470" spans="1:62" ht="15">
      <c r="A470" s="66" t="s">
        <v>660</v>
      </c>
      <c r="B470" s="67"/>
      <c r="C470" s="67"/>
      <c r="D470" s="68">
        <v>50</v>
      </c>
      <c r="E470" s="70"/>
      <c r="F470" s="105" t="str">
        <f>HYPERLINK("https://yt3.ggpht.com/ytc/AIf8zZTiEGtKUwGZd5iPK1nk-gEwWeUS-_cdQG3KDwnQOw=s88-c-k-c0x00ffffff-no-rj")</f>
        <v>https://yt3.ggpht.com/ytc/AIf8zZTiEGtKUwGZd5iPK1nk-gEwWeUS-_cdQG3KDwnQOw=s88-c-k-c0x00ffffff-no-rj</v>
      </c>
      <c r="G470" s="67"/>
      <c r="H470" s="71" t="s">
        <v>2892</v>
      </c>
      <c r="I470" s="72"/>
      <c r="J470" s="72" t="s">
        <v>159</v>
      </c>
      <c r="K470" s="71" t="s">
        <v>2892</v>
      </c>
      <c r="L470" s="75">
        <v>1</v>
      </c>
      <c r="M470" s="76">
        <v>3093.94921875</v>
      </c>
      <c r="N470" s="76">
        <v>3032.09033203125</v>
      </c>
      <c r="O470" s="77"/>
      <c r="P470" s="78"/>
      <c r="Q470" s="78"/>
      <c r="R470" s="90"/>
      <c r="S470" s="49">
        <v>0</v>
      </c>
      <c r="T470" s="49">
        <v>1</v>
      </c>
      <c r="U470" s="50">
        <v>0</v>
      </c>
      <c r="V470" s="50">
        <v>0.220416</v>
      </c>
      <c r="W470" s="51"/>
      <c r="X470" s="51"/>
      <c r="Y470" s="51"/>
      <c r="Z470" s="50"/>
      <c r="AA470" s="73">
        <v>470</v>
      </c>
      <c r="AB470" s="73"/>
      <c r="AC470" s="74"/>
      <c r="AD470" s="81" t="s">
        <v>2892</v>
      </c>
      <c r="AE470" s="81" t="s">
        <v>3189</v>
      </c>
      <c r="AF470" s="81"/>
      <c r="AG470" s="81"/>
      <c r="AH470" s="81"/>
      <c r="AI470" s="81" t="s">
        <v>3329</v>
      </c>
      <c r="AJ470" s="88">
        <v>41813.74554398148</v>
      </c>
      <c r="AK470" s="86" t="str">
        <f>HYPERLINK("https://yt3.ggpht.com/ytc/AIf8zZTiEGtKUwGZd5iPK1nk-gEwWeUS-_cdQG3KDwnQOw=s88-c-k-c0x00ffffff-no-rj")</f>
        <v>https://yt3.ggpht.com/ytc/AIf8zZTiEGtKUwGZd5iPK1nk-gEwWeUS-_cdQG3KDwnQOw=s88-c-k-c0x00ffffff-no-rj</v>
      </c>
      <c r="AL470" s="81">
        <v>1860628</v>
      </c>
      <c r="AM470" s="81">
        <v>0</v>
      </c>
      <c r="AN470" s="81">
        <v>19300</v>
      </c>
      <c r="AO470" s="81" t="b">
        <v>0</v>
      </c>
      <c r="AP470" s="81">
        <v>1028</v>
      </c>
      <c r="AQ470" s="81"/>
      <c r="AR470" s="81"/>
      <c r="AS470" s="81" t="s">
        <v>3378</v>
      </c>
      <c r="AT470" s="86" t="str">
        <f>HYPERLINK("https://www.youtube.com/channel/UCVcETuUxx8xl57_Dcmzfczw")</f>
        <v>https://www.youtube.com/channel/UCVcETuUxx8xl57_Dcmzfczw</v>
      </c>
      <c r="AU470" s="81" t="str">
        <f>REPLACE(INDEX(GroupVertices[Group],MATCH("~"&amp;Vertices[[#This Row],[Vertex]],GroupVertices[Vertex],0)),1,1,"")</f>
        <v>2</v>
      </c>
      <c r="AV470" s="49"/>
      <c r="AW470" s="49"/>
      <c r="AX470" s="49"/>
      <c r="AY470" s="49"/>
      <c r="AZ470" s="49"/>
      <c r="BA470" s="49"/>
      <c r="BB470" s="117" t="s">
        <v>4130</v>
      </c>
      <c r="BC470" s="117" t="s">
        <v>4130</v>
      </c>
      <c r="BD470" s="117" t="s">
        <v>4817</v>
      </c>
      <c r="BE470" s="117" t="s">
        <v>4817</v>
      </c>
      <c r="BF470" s="2"/>
      <c r="BG470" s="3"/>
      <c r="BH470" s="3"/>
      <c r="BI470" s="3"/>
      <c r="BJ470" s="3"/>
    </row>
    <row r="471" spans="1:62" ht="15">
      <c r="A471" s="66" t="s">
        <v>661</v>
      </c>
      <c r="B471" s="67"/>
      <c r="C471" s="67"/>
      <c r="D471" s="68">
        <v>50</v>
      </c>
      <c r="E471" s="70"/>
      <c r="F471" s="105" t="str">
        <f>HYPERLINK("https://yt3.ggpht.com/ytc/AIf8zZS96hieMsuVgq7Mo-vzWIUGRSaRTisLzR5-KYWq6foQtCylqa6B02GYEnqtfH43=s88-c-k-c0x00ffffff-no-rj")</f>
        <v>https://yt3.ggpht.com/ytc/AIf8zZS96hieMsuVgq7Mo-vzWIUGRSaRTisLzR5-KYWq6foQtCylqa6B02GYEnqtfH43=s88-c-k-c0x00ffffff-no-rj</v>
      </c>
      <c r="G471" s="67"/>
      <c r="H471" s="71" t="s">
        <v>2893</v>
      </c>
      <c r="I471" s="72"/>
      <c r="J471" s="72" t="s">
        <v>159</v>
      </c>
      <c r="K471" s="71" t="s">
        <v>2893</v>
      </c>
      <c r="L471" s="75">
        <v>1</v>
      </c>
      <c r="M471" s="76">
        <v>2772.45751953125</v>
      </c>
      <c r="N471" s="76">
        <v>1465.53173828125</v>
      </c>
      <c r="O471" s="77"/>
      <c r="P471" s="78"/>
      <c r="Q471" s="78"/>
      <c r="R471" s="90"/>
      <c r="S471" s="49">
        <v>0</v>
      </c>
      <c r="T471" s="49">
        <v>1</v>
      </c>
      <c r="U471" s="50">
        <v>0</v>
      </c>
      <c r="V471" s="50">
        <v>0.220416</v>
      </c>
      <c r="W471" s="51"/>
      <c r="X471" s="51"/>
      <c r="Y471" s="51"/>
      <c r="Z471" s="50"/>
      <c r="AA471" s="73">
        <v>471</v>
      </c>
      <c r="AB471" s="73"/>
      <c r="AC471" s="74"/>
      <c r="AD471" s="81" t="s">
        <v>2893</v>
      </c>
      <c r="AE471" s="81"/>
      <c r="AF471" s="81"/>
      <c r="AG471" s="81"/>
      <c r="AH471" s="81"/>
      <c r="AI471" s="81" t="s">
        <v>2127</v>
      </c>
      <c r="AJ471" s="88">
        <v>40902.95927083334</v>
      </c>
      <c r="AK471" s="86" t="str">
        <f>HYPERLINK("https://yt3.ggpht.com/ytc/AIf8zZS96hieMsuVgq7Mo-vzWIUGRSaRTisLzR5-KYWq6foQtCylqa6B02GYEnqtfH43=s88-c-k-c0x00ffffff-no-rj")</f>
        <v>https://yt3.ggpht.com/ytc/AIf8zZS96hieMsuVgq7Mo-vzWIUGRSaRTisLzR5-KYWq6foQtCylqa6B02GYEnqtfH43=s88-c-k-c0x00ffffff-no-rj</v>
      </c>
      <c r="AL471" s="81">
        <v>0</v>
      </c>
      <c r="AM471" s="81">
        <v>0</v>
      </c>
      <c r="AN471" s="81">
        <v>0</v>
      </c>
      <c r="AO471" s="81" t="b">
        <v>0</v>
      </c>
      <c r="AP471" s="81">
        <v>0</v>
      </c>
      <c r="AQ471" s="81"/>
      <c r="AR471" s="81"/>
      <c r="AS471" s="81" t="s">
        <v>3378</v>
      </c>
      <c r="AT471" s="86" t="str">
        <f>HYPERLINK("https://www.youtube.com/channel/UCrYsIxhLwq8C7PP2jI7iPew")</f>
        <v>https://www.youtube.com/channel/UCrYsIxhLwq8C7PP2jI7iPew</v>
      </c>
      <c r="AU471" s="81" t="str">
        <f>REPLACE(INDEX(GroupVertices[Group],MATCH("~"&amp;Vertices[[#This Row],[Vertex]],GroupVertices[Vertex],0)),1,1,"")</f>
        <v>2</v>
      </c>
      <c r="AV471" s="49"/>
      <c r="AW471" s="49"/>
      <c r="AX471" s="49"/>
      <c r="AY471" s="49"/>
      <c r="AZ471" s="49"/>
      <c r="BA471" s="49"/>
      <c r="BB471" s="117" t="s">
        <v>4131</v>
      </c>
      <c r="BC471" s="117" t="s">
        <v>4131</v>
      </c>
      <c r="BD471" s="117" t="s">
        <v>4818</v>
      </c>
      <c r="BE471" s="117" t="s">
        <v>4818</v>
      </c>
      <c r="BF471" s="2"/>
      <c r="BG471" s="3"/>
      <c r="BH471" s="3"/>
      <c r="BI471" s="3"/>
      <c r="BJ471" s="3"/>
    </row>
    <row r="472" spans="1:62" ht="15">
      <c r="A472" s="66" t="s">
        <v>662</v>
      </c>
      <c r="B472" s="67"/>
      <c r="C472" s="67"/>
      <c r="D472" s="68">
        <v>50</v>
      </c>
      <c r="E472" s="70"/>
      <c r="F472" s="105" t="str">
        <f>HYPERLINK("https://yt3.ggpht.com/ytc/AIf8zZQNKnJVMGa2AcaP3vPb7T3GhSAeh7wCbw1hhg=s88-c-k-c0x00ffffff-no-rj")</f>
        <v>https://yt3.ggpht.com/ytc/AIf8zZQNKnJVMGa2AcaP3vPb7T3GhSAeh7wCbw1hhg=s88-c-k-c0x00ffffff-no-rj</v>
      </c>
      <c r="G472" s="67"/>
      <c r="H472" s="71" t="s">
        <v>2894</v>
      </c>
      <c r="I472" s="72"/>
      <c r="J472" s="72" t="s">
        <v>159</v>
      </c>
      <c r="K472" s="71" t="s">
        <v>2894</v>
      </c>
      <c r="L472" s="75">
        <v>1</v>
      </c>
      <c r="M472" s="76">
        <v>3454.219970703125</v>
      </c>
      <c r="N472" s="76">
        <v>959.7190551757812</v>
      </c>
      <c r="O472" s="77"/>
      <c r="P472" s="78"/>
      <c r="Q472" s="78"/>
      <c r="R472" s="90"/>
      <c r="S472" s="49">
        <v>0</v>
      </c>
      <c r="T472" s="49">
        <v>1</v>
      </c>
      <c r="U472" s="50">
        <v>0</v>
      </c>
      <c r="V472" s="50">
        <v>0.220416</v>
      </c>
      <c r="W472" s="51"/>
      <c r="X472" s="51"/>
      <c r="Y472" s="51"/>
      <c r="Z472" s="50"/>
      <c r="AA472" s="73">
        <v>472</v>
      </c>
      <c r="AB472" s="73"/>
      <c r="AC472" s="74"/>
      <c r="AD472" s="81" t="s">
        <v>2894</v>
      </c>
      <c r="AE472" s="81"/>
      <c r="AF472" s="81"/>
      <c r="AG472" s="81"/>
      <c r="AH472" s="81"/>
      <c r="AI472" s="81" t="s">
        <v>2128</v>
      </c>
      <c r="AJ472" s="88">
        <v>42621.33231481481</v>
      </c>
      <c r="AK472" s="86" t="str">
        <f>HYPERLINK("https://yt3.ggpht.com/ytc/AIf8zZQNKnJVMGa2AcaP3vPb7T3GhSAeh7wCbw1hhg=s88-c-k-c0x00ffffff-no-rj")</f>
        <v>https://yt3.ggpht.com/ytc/AIf8zZQNKnJVMGa2AcaP3vPb7T3GhSAeh7wCbw1hhg=s88-c-k-c0x00ffffff-no-rj</v>
      </c>
      <c r="AL472" s="81">
        <v>0</v>
      </c>
      <c r="AM472" s="81">
        <v>0</v>
      </c>
      <c r="AN472" s="81">
        <v>3</v>
      </c>
      <c r="AO472" s="81" t="b">
        <v>0</v>
      </c>
      <c r="AP472" s="81">
        <v>0</v>
      </c>
      <c r="AQ472" s="81"/>
      <c r="AR472" s="81"/>
      <c r="AS472" s="81" t="s">
        <v>3378</v>
      </c>
      <c r="AT472" s="86" t="str">
        <f>HYPERLINK("https://www.youtube.com/channel/UCR2iUmmCxRX7wKlQTFYH0tw")</f>
        <v>https://www.youtube.com/channel/UCR2iUmmCxRX7wKlQTFYH0tw</v>
      </c>
      <c r="AU472" s="81" t="str">
        <f>REPLACE(INDEX(GroupVertices[Group],MATCH("~"&amp;Vertices[[#This Row],[Vertex]],GroupVertices[Vertex],0)),1,1,"")</f>
        <v>2</v>
      </c>
      <c r="AV472" s="49"/>
      <c r="AW472" s="49"/>
      <c r="AX472" s="49"/>
      <c r="AY472" s="49"/>
      <c r="AZ472" s="49"/>
      <c r="BA472" s="49"/>
      <c r="BB472" s="117" t="s">
        <v>4132</v>
      </c>
      <c r="BC472" s="117" t="s">
        <v>4132</v>
      </c>
      <c r="BD472" s="117" t="s">
        <v>4819</v>
      </c>
      <c r="BE472" s="117" t="s">
        <v>4819</v>
      </c>
      <c r="BF472" s="2"/>
      <c r="BG472" s="3"/>
      <c r="BH472" s="3"/>
      <c r="BI472" s="3"/>
      <c r="BJ472" s="3"/>
    </row>
    <row r="473" spans="1:62" ht="15">
      <c r="A473" s="66" t="s">
        <v>663</v>
      </c>
      <c r="B473" s="67"/>
      <c r="C473" s="67"/>
      <c r="D473" s="68">
        <v>50</v>
      </c>
      <c r="E473" s="70"/>
      <c r="F473" s="105" t="str">
        <f>HYPERLINK("https://yt3.ggpht.com/ytc/AIf8zZTlj0OgTVuF4Xi89aiAHKCq19pcxHhKwG5B0Q=s88-c-k-c0x00ffffff-no-rj")</f>
        <v>https://yt3.ggpht.com/ytc/AIf8zZTlj0OgTVuF4Xi89aiAHKCq19pcxHhKwG5B0Q=s88-c-k-c0x00ffffff-no-rj</v>
      </c>
      <c r="G473" s="67"/>
      <c r="H473" s="71" t="s">
        <v>2895</v>
      </c>
      <c r="I473" s="72"/>
      <c r="J473" s="72" t="s">
        <v>159</v>
      </c>
      <c r="K473" s="71" t="s">
        <v>2895</v>
      </c>
      <c r="L473" s="75">
        <v>1</v>
      </c>
      <c r="M473" s="76">
        <v>3704.520751953125</v>
      </c>
      <c r="N473" s="76">
        <v>1471.46630859375</v>
      </c>
      <c r="O473" s="77"/>
      <c r="P473" s="78"/>
      <c r="Q473" s="78"/>
      <c r="R473" s="90"/>
      <c r="S473" s="49">
        <v>0</v>
      </c>
      <c r="T473" s="49">
        <v>1</v>
      </c>
      <c r="U473" s="50">
        <v>0</v>
      </c>
      <c r="V473" s="50">
        <v>0.220416</v>
      </c>
      <c r="W473" s="51"/>
      <c r="X473" s="51"/>
      <c r="Y473" s="51"/>
      <c r="Z473" s="50"/>
      <c r="AA473" s="73">
        <v>473</v>
      </c>
      <c r="AB473" s="73"/>
      <c r="AC473" s="74"/>
      <c r="AD473" s="81" t="s">
        <v>2895</v>
      </c>
      <c r="AE473" s="81"/>
      <c r="AF473" s="81"/>
      <c r="AG473" s="81"/>
      <c r="AH473" s="81"/>
      <c r="AI473" s="81" t="s">
        <v>2129</v>
      </c>
      <c r="AJ473" s="88">
        <v>40829.164039351854</v>
      </c>
      <c r="AK473" s="86" t="str">
        <f>HYPERLINK("https://yt3.ggpht.com/ytc/AIf8zZTlj0OgTVuF4Xi89aiAHKCq19pcxHhKwG5B0Q=s88-c-k-c0x00ffffff-no-rj")</f>
        <v>https://yt3.ggpht.com/ytc/AIf8zZTlj0OgTVuF4Xi89aiAHKCq19pcxHhKwG5B0Q=s88-c-k-c0x00ffffff-no-rj</v>
      </c>
      <c r="AL473" s="81">
        <v>56</v>
      </c>
      <c r="AM473" s="81">
        <v>0</v>
      </c>
      <c r="AN473" s="81">
        <v>1</v>
      </c>
      <c r="AO473" s="81" t="b">
        <v>0</v>
      </c>
      <c r="AP473" s="81">
        <v>1</v>
      </c>
      <c r="AQ473" s="81"/>
      <c r="AR473" s="81"/>
      <c r="AS473" s="81" t="s">
        <v>3378</v>
      </c>
      <c r="AT473" s="86" t="str">
        <f>HYPERLINK("https://www.youtube.com/channel/UCuan2-3xzF7HUHM8cHGgp5w")</f>
        <v>https://www.youtube.com/channel/UCuan2-3xzF7HUHM8cHGgp5w</v>
      </c>
      <c r="AU473" s="81" t="str">
        <f>REPLACE(INDEX(GroupVertices[Group],MATCH("~"&amp;Vertices[[#This Row],[Vertex]],GroupVertices[Vertex],0)),1,1,"")</f>
        <v>2</v>
      </c>
      <c r="AV473" s="49"/>
      <c r="AW473" s="49"/>
      <c r="AX473" s="49"/>
      <c r="AY473" s="49"/>
      <c r="AZ473" s="49"/>
      <c r="BA473" s="49"/>
      <c r="BB473" s="117" t="s">
        <v>4133</v>
      </c>
      <c r="BC473" s="117" t="s">
        <v>4133</v>
      </c>
      <c r="BD473" s="117" t="s">
        <v>4820</v>
      </c>
      <c r="BE473" s="117" t="s">
        <v>4820</v>
      </c>
      <c r="BF473" s="2"/>
      <c r="BG473" s="3"/>
      <c r="BH473" s="3"/>
      <c r="BI473" s="3"/>
      <c r="BJ473" s="3"/>
    </row>
    <row r="474" spans="1:62" ht="15">
      <c r="A474" s="66" t="s">
        <v>664</v>
      </c>
      <c r="B474" s="67"/>
      <c r="C474" s="67"/>
      <c r="D474" s="68">
        <v>50</v>
      </c>
      <c r="E474" s="70"/>
      <c r="F474" s="105" t="str">
        <f>HYPERLINK("https://yt3.ggpht.com/ytc/AIf8zZRpJPPXoX5qjj7ND8oRLoARmF-jELjk51SPwUr1=s88-c-k-c0x00ffffff-no-rj")</f>
        <v>https://yt3.ggpht.com/ytc/AIf8zZRpJPPXoX5qjj7ND8oRLoARmF-jELjk51SPwUr1=s88-c-k-c0x00ffffff-no-rj</v>
      </c>
      <c r="G474" s="67"/>
      <c r="H474" s="71" t="s">
        <v>2896</v>
      </c>
      <c r="I474" s="72"/>
      <c r="J474" s="72" t="s">
        <v>159</v>
      </c>
      <c r="K474" s="71" t="s">
        <v>2896</v>
      </c>
      <c r="L474" s="75">
        <v>1</v>
      </c>
      <c r="M474" s="76">
        <v>476.39007568359375</v>
      </c>
      <c r="N474" s="76">
        <v>2296.0751953125</v>
      </c>
      <c r="O474" s="77"/>
      <c r="P474" s="78"/>
      <c r="Q474" s="78"/>
      <c r="R474" s="90"/>
      <c r="S474" s="49">
        <v>0</v>
      </c>
      <c r="T474" s="49">
        <v>1</v>
      </c>
      <c r="U474" s="50">
        <v>0</v>
      </c>
      <c r="V474" s="50">
        <v>0.220416</v>
      </c>
      <c r="W474" s="51"/>
      <c r="X474" s="51"/>
      <c r="Y474" s="51"/>
      <c r="Z474" s="50"/>
      <c r="AA474" s="73">
        <v>474</v>
      </c>
      <c r="AB474" s="73"/>
      <c r="AC474" s="74"/>
      <c r="AD474" s="81" t="s">
        <v>2896</v>
      </c>
      <c r="AE474" s="81"/>
      <c r="AF474" s="81"/>
      <c r="AG474" s="81"/>
      <c r="AH474" s="81"/>
      <c r="AI474" s="81" t="s">
        <v>2130</v>
      </c>
      <c r="AJ474" s="88">
        <v>41368.974710648145</v>
      </c>
      <c r="AK474" s="86" t="str">
        <f>HYPERLINK("https://yt3.ggpht.com/ytc/AIf8zZRpJPPXoX5qjj7ND8oRLoARmF-jELjk51SPwUr1=s88-c-k-c0x00ffffff-no-rj")</f>
        <v>https://yt3.ggpht.com/ytc/AIf8zZRpJPPXoX5qjj7ND8oRLoARmF-jELjk51SPwUr1=s88-c-k-c0x00ffffff-no-rj</v>
      </c>
      <c r="AL474" s="81">
        <v>0</v>
      </c>
      <c r="AM474" s="81">
        <v>0</v>
      </c>
      <c r="AN474" s="81">
        <v>0</v>
      </c>
      <c r="AO474" s="81" t="b">
        <v>0</v>
      </c>
      <c r="AP474" s="81">
        <v>0</v>
      </c>
      <c r="AQ474" s="81"/>
      <c r="AR474" s="81"/>
      <c r="AS474" s="81" t="s">
        <v>3378</v>
      </c>
      <c r="AT474" s="86" t="str">
        <f>HYPERLINK("https://www.youtube.com/channel/UC7fV28N1iBF0AzOCvAPljsA")</f>
        <v>https://www.youtube.com/channel/UC7fV28N1iBF0AzOCvAPljsA</v>
      </c>
      <c r="AU474" s="81" t="str">
        <f>REPLACE(INDEX(GroupVertices[Group],MATCH("~"&amp;Vertices[[#This Row],[Vertex]],GroupVertices[Vertex],0)),1,1,"")</f>
        <v>2</v>
      </c>
      <c r="AV474" s="49"/>
      <c r="AW474" s="49"/>
      <c r="AX474" s="49"/>
      <c r="AY474" s="49"/>
      <c r="AZ474" s="49"/>
      <c r="BA474" s="49"/>
      <c r="BB474" s="117" t="s">
        <v>4134</v>
      </c>
      <c r="BC474" s="117" t="s">
        <v>4134</v>
      </c>
      <c r="BD474" s="117" t="s">
        <v>4821</v>
      </c>
      <c r="BE474" s="117" t="s">
        <v>4821</v>
      </c>
      <c r="BF474" s="2"/>
      <c r="BG474" s="3"/>
      <c r="BH474" s="3"/>
      <c r="BI474" s="3"/>
      <c r="BJ474" s="3"/>
    </row>
    <row r="475" spans="1:62" ht="15">
      <c r="A475" s="66" t="s">
        <v>665</v>
      </c>
      <c r="B475" s="67"/>
      <c r="C475" s="67"/>
      <c r="D475" s="68">
        <v>50</v>
      </c>
      <c r="E475" s="70"/>
      <c r="F475" s="105" t="str">
        <f>HYPERLINK("https://yt3.ggpht.com/ytc/AIf8zZSmskd398nWkvlj5T7GL4jEQj_Gd-7_7IgCZOyY8A=s88-c-k-c0x00ffffff-no-rj")</f>
        <v>https://yt3.ggpht.com/ytc/AIf8zZSmskd398nWkvlj5T7GL4jEQj_Gd-7_7IgCZOyY8A=s88-c-k-c0x00ffffff-no-rj</v>
      </c>
      <c r="G475" s="67"/>
      <c r="H475" s="71" t="s">
        <v>2897</v>
      </c>
      <c r="I475" s="72"/>
      <c r="J475" s="72" t="s">
        <v>159</v>
      </c>
      <c r="K475" s="71" t="s">
        <v>2897</v>
      </c>
      <c r="L475" s="75">
        <v>1</v>
      </c>
      <c r="M475" s="76">
        <v>2411.5908203125</v>
      </c>
      <c r="N475" s="76">
        <v>736.2224731445312</v>
      </c>
      <c r="O475" s="77"/>
      <c r="P475" s="78"/>
      <c r="Q475" s="78"/>
      <c r="R475" s="90"/>
      <c r="S475" s="49">
        <v>0</v>
      </c>
      <c r="T475" s="49">
        <v>1</v>
      </c>
      <c r="U475" s="50">
        <v>0</v>
      </c>
      <c r="V475" s="50">
        <v>0.220416</v>
      </c>
      <c r="W475" s="51"/>
      <c r="X475" s="51"/>
      <c r="Y475" s="51"/>
      <c r="Z475" s="50"/>
      <c r="AA475" s="73">
        <v>475</v>
      </c>
      <c r="AB475" s="73"/>
      <c r="AC475" s="74"/>
      <c r="AD475" s="81" t="s">
        <v>2897</v>
      </c>
      <c r="AE475" s="81"/>
      <c r="AF475" s="81"/>
      <c r="AG475" s="81"/>
      <c r="AH475" s="81"/>
      <c r="AI475" s="81" t="s">
        <v>3330</v>
      </c>
      <c r="AJ475" s="88">
        <v>40141.42729166667</v>
      </c>
      <c r="AK475" s="86" t="str">
        <f>HYPERLINK("https://yt3.ggpht.com/ytc/AIf8zZSmskd398nWkvlj5T7GL4jEQj_Gd-7_7IgCZOyY8A=s88-c-k-c0x00ffffff-no-rj")</f>
        <v>https://yt3.ggpht.com/ytc/AIf8zZSmskd398nWkvlj5T7GL4jEQj_Gd-7_7IgCZOyY8A=s88-c-k-c0x00ffffff-no-rj</v>
      </c>
      <c r="AL475" s="81">
        <v>171</v>
      </c>
      <c r="AM475" s="81">
        <v>0</v>
      </c>
      <c r="AN475" s="81">
        <v>0</v>
      </c>
      <c r="AO475" s="81" t="b">
        <v>0</v>
      </c>
      <c r="AP475" s="81">
        <v>3</v>
      </c>
      <c r="AQ475" s="81"/>
      <c r="AR475" s="81"/>
      <c r="AS475" s="81" t="s">
        <v>3378</v>
      </c>
      <c r="AT475" s="86" t="str">
        <f>HYPERLINK("https://www.youtube.com/channel/UC6oC5WtM72f9H0P_VCjSZNQ")</f>
        <v>https://www.youtube.com/channel/UC6oC5WtM72f9H0P_VCjSZNQ</v>
      </c>
      <c r="AU475" s="81" t="str">
        <f>REPLACE(INDEX(GroupVertices[Group],MATCH("~"&amp;Vertices[[#This Row],[Vertex]],GroupVertices[Vertex],0)),1,1,"")</f>
        <v>2</v>
      </c>
      <c r="AV475" s="49"/>
      <c r="AW475" s="49"/>
      <c r="AX475" s="49"/>
      <c r="AY475" s="49"/>
      <c r="AZ475" s="49"/>
      <c r="BA475" s="49"/>
      <c r="BB475" s="117" t="s">
        <v>4135</v>
      </c>
      <c r="BC475" s="117" t="s">
        <v>4135</v>
      </c>
      <c r="BD475" s="117" t="s">
        <v>4822</v>
      </c>
      <c r="BE475" s="117" t="s">
        <v>4822</v>
      </c>
      <c r="BF475" s="2"/>
      <c r="BG475" s="3"/>
      <c r="BH475" s="3"/>
      <c r="BI475" s="3"/>
      <c r="BJ475" s="3"/>
    </row>
    <row r="476" spans="1:62" ht="15">
      <c r="A476" s="66" t="s">
        <v>666</v>
      </c>
      <c r="B476" s="67"/>
      <c r="C476" s="67"/>
      <c r="D476" s="68">
        <v>50</v>
      </c>
      <c r="E476" s="70"/>
      <c r="F476" s="105" t="str">
        <f>HYPERLINK("https://yt3.ggpht.com/ytc/AIf8zZTuXTFd6xCIMIDX_j076w_M5rwj2km420ZOGLiqNZYSZMKkbVJKJvWUlXuyCXLt=s88-c-k-c0x00ffffff-no-rj")</f>
        <v>https://yt3.ggpht.com/ytc/AIf8zZTuXTFd6xCIMIDX_j076w_M5rwj2km420ZOGLiqNZYSZMKkbVJKJvWUlXuyCXLt=s88-c-k-c0x00ffffff-no-rj</v>
      </c>
      <c r="G476" s="67"/>
      <c r="H476" s="71" t="s">
        <v>2898</v>
      </c>
      <c r="I476" s="72"/>
      <c r="J476" s="72" t="s">
        <v>159</v>
      </c>
      <c r="K476" s="71" t="s">
        <v>2898</v>
      </c>
      <c r="L476" s="75">
        <v>1</v>
      </c>
      <c r="M476" s="76">
        <v>374.244384765625</v>
      </c>
      <c r="N476" s="76">
        <v>1954.11962890625</v>
      </c>
      <c r="O476" s="77"/>
      <c r="P476" s="78"/>
      <c r="Q476" s="78"/>
      <c r="R476" s="90"/>
      <c r="S476" s="49">
        <v>0</v>
      </c>
      <c r="T476" s="49">
        <v>1</v>
      </c>
      <c r="U476" s="50">
        <v>0</v>
      </c>
      <c r="V476" s="50">
        <v>0.220416</v>
      </c>
      <c r="W476" s="51"/>
      <c r="X476" s="51"/>
      <c r="Y476" s="51"/>
      <c r="Z476" s="50"/>
      <c r="AA476" s="73">
        <v>476</v>
      </c>
      <c r="AB476" s="73"/>
      <c r="AC476" s="74"/>
      <c r="AD476" s="81" t="s">
        <v>2898</v>
      </c>
      <c r="AE476" s="81"/>
      <c r="AF476" s="81"/>
      <c r="AG476" s="81"/>
      <c r="AH476" s="81"/>
      <c r="AI476" s="81" t="s">
        <v>2132</v>
      </c>
      <c r="AJ476" s="88">
        <v>44843.088125</v>
      </c>
      <c r="AK476" s="86" t="str">
        <f>HYPERLINK("https://yt3.ggpht.com/ytc/AIf8zZTuXTFd6xCIMIDX_j076w_M5rwj2km420ZOGLiqNZYSZMKkbVJKJvWUlXuyCXLt=s88-c-k-c0x00ffffff-no-rj")</f>
        <v>https://yt3.ggpht.com/ytc/AIf8zZTuXTFd6xCIMIDX_j076w_M5rwj2km420ZOGLiqNZYSZMKkbVJKJvWUlXuyCXLt=s88-c-k-c0x00ffffff-no-rj</v>
      </c>
      <c r="AL476" s="81">
        <v>0</v>
      </c>
      <c r="AM476" s="81">
        <v>0</v>
      </c>
      <c r="AN476" s="81">
        <v>0</v>
      </c>
      <c r="AO476" s="81" t="b">
        <v>0</v>
      </c>
      <c r="AP476" s="81">
        <v>0</v>
      </c>
      <c r="AQ476" s="81"/>
      <c r="AR476" s="81"/>
      <c r="AS476" s="81" t="s">
        <v>3378</v>
      </c>
      <c r="AT476" s="86" t="str">
        <f>HYPERLINK("https://www.youtube.com/channel/UCnUOERpIiTahkJIERCyCqvw")</f>
        <v>https://www.youtube.com/channel/UCnUOERpIiTahkJIERCyCqvw</v>
      </c>
      <c r="AU476" s="81" t="str">
        <f>REPLACE(INDEX(GroupVertices[Group],MATCH("~"&amp;Vertices[[#This Row],[Vertex]],GroupVertices[Vertex],0)),1,1,"")</f>
        <v>2</v>
      </c>
      <c r="AV476" s="49"/>
      <c r="AW476" s="49"/>
      <c r="AX476" s="49"/>
      <c r="AY476" s="49"/>
      <c r="AZ476" s="49"/>
      <c r="BA476" s="49"/>
      <c r="BB476" s="117" t="s">
        <v>4136</v>
      </c>
      <c r="BC476" s="117" t="s">
        <v>4136</v>
      </c>
      <c r="BD476" s="117" t="s">
        <v>4823</v>
      </c>
      <c r="BE476" s="117" t="s">
        <v>4823</v>
      </c>
      <c r="BF476" s="2"/>
      <c r="BG476" s="3"/>
      <c r="BH476" s="3"/>
      <c r="BI476" s="3"/>
      <c r="BJ476" s="3"/>
    </row>
    <row r="477" spans="1:62" ht="15">
      <c r="A477" s="66" t="s">
        <v>667</v>
      </c>
      <c r="B477" s="67"/>
      <c r="C477" s="67"/>
      <c r="D477" s="68">
        <v>50</v>
      </c>
      <c r="E477" s="70"/>
      <c r="F477" s="105" t="str">
        <f>HYPERLINK("https://yt3.ggpht.com/ytc/AIf8zZQbW4s74uP851_KfGXgZwhD9O2v8MwSNGFfu3hoxz43qQHUAmr5wtbVwaVgaaRd=s88-c-k-c0x00ffffff-no-rj")</f>
        <v>https://yt3.ggpht.com/ytc/AIf8zZQbW4s74uP851_KfGXgZwhD9O2v8MwSNGFfu3hoxz43qQHUAmr5wtbVwaVgaaRd=s88-c-k-c0x00ffffff-no-rj</v>
      </c>
      <c r="G477" s="67"/>
      <c r="H477" s="71" t="s">
        <v>2899</v>
      </c>
      <c r="I477" s="72"/>
      <c r="J477" s="72" t="s">
        <v>159</v>
      </c>
      <c r="K477" s="71" t="s">
        <v>2899</v>
      </c>
      <c r="L477" s="75">
        <v>1</v>
      </c>
      <c r="M477" s="76">
        <v>1443.691162109375</v>
      </c>
      <c r="N477" s="76">
        <v>3050.54736328125</v>
      </c>
      <c r="O477" s="77"/>
      <c r="P477" s="78"/>
      <c r="Q477" s="78"/>
      <c r="R477" s="90"/>
      <c r="S477" s="49">
        <v>0</v>
      </c>
      <c r="T477" s="49">
        <v>1</v>
      </c>
      <c r="U477" s="50">
        <v>0</v>
      </c>
      <c r="V477" s="50">
        <v>0.220416</v>
      </c>
      <c r="W477" s="51"/>
      <c r="X477" s="51"/>
      <c r="Y477" s="51"/>
      <c r="Z477" s="50"/>
      <c r="AA477" s="73">
        <v>477</v>
      </c>
      <c r="AB477" s="73"/>
      <c r="AC477" s="74"/>
      <c r="AD477" s="81" t="s">
        <v>2899</v>
      </c>
      <c r="AE477" s="81"/>
      <c r="AF477" s="81"/>
      <c r="AG477" s="81"/>
      <c r="AH477" s="81"/>
      <c r="AI477" s="81" t="s">
        <v>2133</v>
      </c>
      <c r="AJ477" s="88">
        <v>44705.35681712963</v>
      </c>
      <c r="AK477" s="86" t="str">
        <f>HYPERLINK("https://yt3.ggpht.com/ytc/AIf8zZQbW4s74uP851_KfGXgZwhD9O2v8MwSNGFfu3hoxz43qQHUAmr5wtbVwaVgaaRd=s88-c-k-c0x00ffffff-no-rj")</f>
        <v>https://yt3.ggpht.com/ytc/AIf8zZQbW4s74uP851_KfGXgZwhD9O2v8MwSNGFfu3hoxz43qQHUAmr5wtbVwaVgaaRd=s88-c-k-c0x00ffffff-no-rj</v>
      </c>
      <c r="AL477" s="81">
        <v>0</v>
      </c>
      <c r="AM477" s="81">
        <v>0</v>
      </c>
      <c r="AN477" s="81">
        <v>0</v>
      </c>
      <c r="AO477" s="81" t="b">
        <v>0</v>
      </c>
      <c r="AP477" s="81">
        <v>0</v>
      </c>
      <c r="AQ477" s="81"/>
      <c r="AR477" s="81"/>
      <c r="AS477" s="81" t="s">
        <v>3378</v>
      </c>
      <c r="AT477" s="86" t="str">
        <f>HYPERLINK("https://www.youtube.com/channel/UCibi5J-2WxLl4W7SMt1W9Dg")</f>
        <v>https://www.youtube.com/channel/UCibi5J-2WxLl4W7SMt1W9Dg</v>
      </c>
      <c r="AU477" s="81" t="str">
        <f>REPLACE(INDEX(GroupVertices[Group],MATCH("~"&amp;Vertices[[#This Row],[Vertex]],GroupVertices[Vertex],0)),1,1,"")</f>
        <v>2</v>
      </c>
      <c r="AV477" s="49"/>
      <c r="AW477" s="49"/>
      <c r="AX477" s="49"/>
      <c r="AY477" s="49"/>
      <c r="AZ477" s="49"/>
      <c r="BA477" s="49"/>
      <c r="BB477" s="117" t="s">
        <v>4137</v>
      </c>
      <c r="BC477" s="117" t="s">
        <v>4137</v>
      </c>
      <c r="BD477" s="117" t="s">
        <v>4824</v>
      </c>
      <c r="BE477" s="117" t="s">
        <v>4824</v>
      </c>
      <c r="BF477" s="2"/>
      <c r="BG477" s="3"/>
      <c r="BH477" s="3"/>
      <c r="BI477" s="3"/>
      <c r="BJ477" s="3"/>
    </row>
    <row r="478" spans="1:62" ht="15">
      <c r="A478" s="66" t="s">
        <v>668</v>
      </c>
      <c r="B478" s="67"/>
      <c r="C478" s="67"/>
      <c r="D478" s="68">
        <v>50</v>
      </c>
      <c r="E478" s="70"/>
      <c r="F478" s="105" t="str">
        <f>HYPERLINK("https://yt3.ggpht.com/ytc/AIf8zZS-GH-82tXQzLaZP40xuOlURKFEQ9JP0D9BcA=s88-c-k-c0x00ffffff-no-rj")</f>
        <v>https://yt3.ggpht.com/ytc/AIf8zZS-GH-82tXQzLaZP40xuOlURKFEQ9JP0D9BcA=s88-c-k-c0x00ffffff-no-rj</v>
      </c>
      <c r="G478" s="67"/>
      <c r="H478" s="71" t="s">
        <v>2900</v>
      </c>
      <c r="I478" s="72"/>
      <c r="J478" s="72" t="s">
        <v>159</v>
      </c>
      <c r="K478" s="71" t="s">
        <v>2900</v>
      </c>
      <c r="L478" s="75">
        <v>1</v>
      </c>
      <c r="M478" s="76">
        <v>2088.29052734375</v>
      </c>
      <c r="N478" s="76">
        <v>3573.921875</v>
      </c>
      <c r="O478" s="77"/>
      <c r="P478" s="78"/>
      <c r="Q478" s="78"/>
      <c r="R478" s="90"/>
      <c r="S478" s="49">
        <v>0</v>
      </c>
      <c r="T478" s="49">
        <v>1</v>
      </c>
      <c r="U478" s="50">
        <v>0</v>
      </c>
      <c r="V478" s="50">
        <v>0.220416</v>
      </c>
      <c r="W478" s="51"/>
      <c r="X478" s="51"/>
      <c r="Y478" s="51"/>
      <c r="Z478" s="50"/>
      <c r="AA478" s="73">
        <v>478</v>
      </c>
      <c r="AB478" s="73"/>
      <c r="AC478" s="74"/>
      <c r="AD478" s="81" t="s">
        <v>2900</v>
      </c>
      <c r="AE478" s="81"/>
      <c r="AF478" s="81"/>
      <c r="AG478" s="81"/>
      <c r="AH478" s="81"/>
      <c r="AI478" s="81" t="s">
        <v>2134</v>
      </c>
      <c r="AJ478" s="88">
        <v>39027.286203703705</v>
      </c>
      <c r="AK478" s="86" t="str">
        <f>HYPERLINK("https://yt3.ggpht.com/ytc/AIf8zZS-GH-82tXQzLaZP40xuOlURKFEQ9JP0D9BcA=s88-c-k-c0x00ffffff-no-rj")</f>
        <v>https://yt3.ggpht.com/ytc/AIf8zZS-GH-82tXQzLaZP40xuOlURKFEQ9JP0D9BcA=s88-c-k-c0x00ffffff-no-rj</v>
      </c>
      <c r="AL478" s="81">
        <v>224</v>
      </c>
      <c r="AM478" s="81">
        <v>0</v>
      </c>
      <c r="AN478" s="81">
        <v>4</v>
      </c>
      <c r="AO478" s="81" t="b">
        <v>0</v>
      </c>
      <c r="AP478" s="81">
        <v>15</v>
      </c>
      <c r="AQ478" s="81"/>
      <c r="AR478" s="81"/>
      <c r="AS478" s="81" t="s">
        <v>3378</v>
      </c>
      <c r="AT478" s="86" t="str">
        <f>HYPERLINK("https://www.youtube.com/channel/UCDOoyWgBUlOIffMGG6qMf4Q")</f>
        <v>https://www.youtube.com/channel/UCDOoyWgBUlOIffMGG6qMf4Q</v>
      </c>
      <c r="AU478" s="81" t="str">
        <f>REPLACE(INDEX(GroupVertices[Group],MATCH("~"&amp;Vertices[[#This Row],[Vertex]],GroupVertices[Vertex],0)),1,1,"")</f>
        <v>2</v>
      </c>
      <c r="AV478" s="49"/>
      <c r="AW478" s="49"/>
      <c r="AX478" s="49"/>
      <c r="AY478" s="49"/>
      <c r="AZ478" s="49"/>
      <c r="BA478" s="49"/>
      <c r="BB478" s="117" t="s">
        <v>4138</v>
      </c>
      <c r="BC478" s="117" t="s">
        <v>4138</v>
      </c>
      <c r="BD478" s="117" t="s">
        <v>4825</v>
      </c>
      <c r="BE478" s="117" t="s">
        <v>4825</v>
      </c>
      <c r="BF478" s="2"/>
      <c r="BG478" s="3"/>
      <c r="BH478" s="3"/>
      <c r="BI478" s="3"/>
      <c r="BJ478" s="3"/>
    </row>
    <row r="479" spans="1:62" ht="15">
      <c r="A479" s="66" t="s">
        <v>669</v>
      </c>
      <c r="B479" s="67"/>
      <c r="C479" s="67"/>
      <c r="D479" s="68">
        <v>50</v>
      </c>
      <c r="E479" s="70"/>
      <c r="F479" s="105" t="str">
        <f>HYPERLINK("https://yt3.ggpht.com/T342kHtzHHoLS7ftdWyCtZo-bgOWIgNTsJtSz3A-Rr9Gijd20fO-pYFc9ZNGgyuMHrBAixDW=s88-c-k-c0x00ffffff-no-rj")</f>
        <v>https://yt3.ggpht.com/T342kHtzHHoLS7ftdWyCtZo-bgOWIgNTsJtSz3A-Rr9Gijd20fO-pYFc9ZNGgyuMHrBAixDW=s88-c-k-c0x00ffffff-no-rj</v>
      </c>
      <c r="G479" s="67"/>
      <c r="H479" s="71" t="s">
        <v>2901</v>
      </c>
      <c r="I479" s="72"/>
      <c r="J479" s="72" t="s">
        <v>159</v>
      </c>
      <c r="K479" s="71" t="s">
        <v>2901</v>
      </c>
      <c r="L479" s="75">
        <v>1</v>
      </c>
      <c r="M479" s="76">
        <v>3473.930419921875</v>
      </c>
      <c r="N479" s="76">
        <v>1439.623291015625</v>
      </c>
      <c r="O479" s="77"/>
      <c r="P479" s="78"/>
      <c r="Q479" s="78"/>
      <c r="R479" s="90"/>
      <c r="S479" s="49">
        <v>0</v>
      </c>
      <c r="T479" s="49">
        <v>1</v>
      </c>
      <c r="U479" s="50">
        <v>0</v>
      </c>
      <c r="V479" s="50">
        <v>0.220416</v>
      </c>
      <c r="W479" s="51"/>
      <c r="X479" s="51"/>
      <c r="Y479" s="51"/>
      <c r="Z479" s="50"/>
      <c r="AA479" s="73">
        <v>479</v>
      </c>
      <c r="AB479" s="73"/>
      <c r="AC479" s="74"/>
      <c r="AD479" s="81" t="s">
        <v>2901</v>
      </c>
      <c r="AE479" s="81"/>
      <c r="AF479" s="81"/>
      <c r="AG479" s="81"/>
      <c r="AH479" s="81"/>
      <c r="AI479" s="81" t="s">
        <v>2135</v>
      </c>
      <c r="AJ479" s="88">
        <v>40875.8533912037</v>
      </c>
      <c r="AK479" s="86" t="str">
        <f>HYPERLINK("https://yt3.ggpht.com/T342kHtzHHoLS7ftdWyCtZo-bgOWIgNTsJtSz3A-Rr9Gijd20fO-pYFc9ZNGgyuMHrBAixDW=s88-c-k-c0x00ffffff-no-rj")</f>
        <v>https://yt3.ggpht.com/T342kHtzHHoLS7ftdWyCtZo-bgOWIgNTsJtSz3A-Rr9Gijd20fO-pYFc9ZNGgyuMHrBAixDW=s88-c-k-c0x00ffffff-no-rj</v>
      </c>
      <c r="AL479" s="81">
        <v>831</v>
      </c>
      <c r="AM479" s="81">
        <v>0</v>
      </c>
      <c r="AN479" s="81">
        <v>2</v>
      </c>
      <c r="AO479" s="81" t="b">
        <v>0</v>
      </c>
      <c r="AP479" s="81">
        <v>1</v>
      </c>
      <c r="AQ479" s="81"/>
      <c r="AR479" s="81"/>
      <c r="AS479" s="81" t="s">
        <v>3378</v>
      </c>
      <c r="AT479" s="86" t="str">
        <f>HYPERLINK("https://www.youtube.com/channel/UCgbZpB5Mlkvj1rmzI2yhsTQ")</f>
        <v>https://www.youtube.com/channel/UCgbZpB5Mlkvj1rmzI2yhsTQ</v>
      </c>
      <c r="AU479" s="81" t="str">
        <f>REPLACE(INDEX(GroupVertices[Group],MATCH("~"&amp;Vertices[[#This Row],[Vertex]],GroupVertices[Vertex],0)),1,1,"")</f>
        <v>2</v>
      </c>
      <c r="AV479" s="49"/>
      <c r="AW479" s="49"/>
      <c r="AX479" s="49"/>
      <c r="AY479" s="49"/>
      <c r="AZ479" s="49"/>
      <c r="BA479" s="49"/>
      <c r="BB479" s="117" t="s">
        <v>4139</v>
      </c>
      <c r="BC479" s="117" t="s">
        <v>4139</v>
      </c>
      <c r="BD479" s="117" t="s">
        <v>4826</v>
      </c>
      <c r="BE479" s="117" t="s">
        <v>4826</v>
      </c>
      <c r="BF479" s="2"/>
      <c r="BG479" s="3"/>
      <c r="BH479" s="3"/>
      <c r="BI479" s="3"/>
      <c r="BJ479" s="3"/>
    </row>
    <row r="480" spans="1:62" ht="15">
      <c r="A480" s="66" t="s">
        <v>670</v>
      </c>
      <c r="B480" s="67"/>
      <c r="C480" s="67"/>
      <c r="D480" s="68">
        <v>50</v>
      </c>
      <c r="E480" s="70"/>
      <c r="F480" s="105" t="str">
        <f>HYPERLINK("https://yt3.ggpht.com/ytc/AIf8zZRhs1biYNLCxc0u6Q7IvoiXMxFcMtydXEKisg=s88-c-k-c0x00ffffff-no-rj")</f>
        <v>https://yt3.ggpht.com/ytc/AIf8zZRhs1biYNLCxc0u6Q7IvoiXMxFcMtydXEKisg=s88-c-k-c0x00ffffff-no-rj</v>
      </c>
      <c r="G480" s="67"/>
      <c r="H480" s="71" t="s">
        <v>2902</v>
      </c>
      <c r="I480" s="72"/>
      <c r="J480" s="72" t="s">
        <v>159</v>
      </c>
      <c r="K480" s="71" t="s">
        <v>2902</v>
      </c>
      <c r="L480" s="75">
        <v>1</v>
      </c>
      <c r="M480" s="76">
        <v>161.88734436035156</v>
      </c>
      <c r="N480" s="76">
        <v>1551.2999267578125</v>
      </c>
      <c r="O480" s="77"/>
      <c r="P480" s="78"/>
      <c r="Q480" s="78"/>
      <c r="R480" s="90"/>
      <c r="S480" s="49">
        <v>0</v>
      </c>
      <c r="T480" s="49">
        <v>1</v>
      </c>
      <c r="U480" s="50">
        <v>0</v>
      </c>
      <c r="V480" s="50">
        <v>0.220416</v>
      </c>
      <c r="W480" s="51"/>
      <c r="X480" s="51"/>
      <c r="Y480" s="51"/>
      <c r="Z480" s="50"/>
      <c r="AA480" s="73">
        <v>480</v>
      </c>
      <c r="AB480" s="73"/>
      <c r="AC480" s="74"/>
      <c r="AD480" s="81" t="s">
        <v>2902</v>
      </c>
      <c r="AE480" s="81"/>
      <c r="AF480" s="81"/>
      <c r="AG480" s="81"/>
      <c r="AH480" s="81"/>
      <c r="AI480" s="81" t="s">
        <v>2136</v>
      </c>
      <c r="AJ480" s="88">
        <v>43812.856620370374</v>
      </c>
      <c r="AK480" s="86" t="str">
        <f>HYPERLINK("https://yt3.ggpht.com/ytc/AIf8zZRhs1biYNLCxc0u6Q7IvoiXMxFcMtydXEKisg=s88-c-k-c0x00ffffff-no-rj")</f>
        <v>https://yt3.ggpht.com/ytc/AIf8zZRhs1biYNLCxc0u6Q7IvoiXMxFcMtydXEKisg=s88-c-k-c0x00ffffff-no-rj</v>
      </c>
      <c r="AL480" s="81">
        <v>0</v>
      </c>
      <c r="AM480" s="81">
        <v>0</v>
      </c>
      <c r="AN480" s="81">
        <v>0</v>
      </c>
      <c r="AO480" s="81" t="b">
        <v>0</v>
      </c>
      <c r="AP480" s="81">
        <v>0</v>
      </c>
      <c r="AQ480" s="81"/>
      <c r="AR480" s="81"/>
      <c r="AS480" s="81" t="s">
        <v>3378</v>
      </c>
      <c r="AT480" s="86" t="str">
        <f>HYPERLINK("https://www.youtube.com/channel/UCk3LpgzoOhBd2oEvmbxW4FQ")</f>
        <v>https://www.youtube.com/channel/UCk3LpgzoOhBd2oEvmbxW4FQ</v>
      </c>
      <c r="AU480" s="81" t="str">
        <f>REPLACE(INDEX(GroupVertices[Group],MATCH("~"&amp;Vertices[[#This Row],[Vertex]],GroupVertices[Vertex],0)),1,1,"")</f>
        <v>2</v>
      </c>
      <c r="AV480" s="49"/>
      <c r="AW480" s="49"/>
      <c r="AX480" s="49"/>
      <c r="AY480" s="49"/>
      <c r="AZ480" s="49"/>
      <c r="BA480" s="49"/>
      <c r="BB480" s="117" t="s">
        <v>4140</v>
      </c>
      <c r="BC480" s="117" t="s">
        <v>4140</v>
      </c>
      <c r="BD480" s="117" t="s">
        <v>4827</v>
      </c>
      <c r="BE480" s="117" t="s">
        <v>4827</v>
      </c>
      <c r="BF480" s="2"/>
      <c r="BG480" s="3"/>
      <c r="BH480" s="3"/>
      <c r="BI480" s="3"/>
      <c r="BJ480" s="3"/>
    </row>
    <row r="481" spans="1:62" ht="15">
      <c r="A481" s="66" t="s">
        <v>671</v>
      </c>
      <c r="B481" s="67"/>
      <c r="C481" s="67"/>
      <c r="D481" s="68">
        <v>50</v>
      </c>
      <c r="E481" s="70"/>
      <c r="F481" s="105" t="str">
        <f>HYPERLINK("https://yt3.ggpht.com/ytc/AIf8zZTcKNo9I2YFGdKMDn2DYjtnlGmACROx3-O6Ag=s88-c-k-c0x00ffffff-no-rj")</f>
        <v>https://yt3.ggpht.com/ytc/AIf8zZTcKNo9I2YFGdKMDn2DYjtnlGmACROx3-O6Ag=s88-c-k-c0x00ffffff-no-rj</v>
      </c>
      <c r="G481" s="67"/>
      <c r="H481" s="71" t="s">
        <v>2903</v>
      </c>
      <c r="I481" s="72"/>
      <c r="J481" s="72" t="s">
        <v>159</v>
      </c>
      <c r="K481" s="71" t="s">
        <v>2903</v>
      </c>
      <c r="L481" s="75">
        <v>1</v>
      </c>
      <c r="M481" s="76">
        <v>2788.498779296875</v>
      </c>
      <c r="N481" s="76">
        <v>1929.9097900390625</v>
      </c>
      <c r="O481" s="77"/>
      <c r="P481" s="78"/>
      <c r="Q481" s="78"/>
      <c r="R481" s="90"/>
      <c r="S481" s="49">
        <v>0</v>
      </c>
      <c r="T481" s="49">
        <v>1</v>
      </c>
      <c r="U481" s="50">
        <v>0</v>
      </c>
      <c r="V481" s="50">
        <v>0.220416</v>
      </c>
      <c r="W481" s="51"/>
      <c r="X481" s="51"/>
      <c r="Y481" s="51"/>
      <c r="Z481" s="50"/>
      <c r="AA481" s="73">
        <v>481</v>
      </c>
      <c r="AB481" s="73"/>
      <c r="AC481" s="74"/>
      <c r="AD481" s="81" t="s">
        <v>2903</v>
      </c>
      <c r="AE481" s="81" t="s">
        <v>3190</v>
      </c>
      <c r="AF481" s="81"/>
      <c r="AG481" s="81"/>
      <c r="AH481" s="81"/>
      <c r="AI481" s="81" t="s">
        <v>2137</v>
      </c>
      <c r="AJ481" s="88">
        <v>39907.19978009259</v>
      </c>
      <c r="AK481" s="86" t="str">
        <f>HYPERLINK("https://yt3.ggpht.com/ytc/AIf8zZTcKNo9I2YFGdKMDn2DYjtnlGmACROx3-O6Ag=s88-c-k-c0x00ffffff-no-rj")</f>
        <v>https://yt3.ggpht.com/ytc/AIf8zZTcKNo9I2YFGdKMDn2DYjtnlGmACROx3-O6Ag=s88-c-k-c0x00ffffff-no-rj</v>
      </c>
      <c r="AL481" s="81">
        <v>0</v>
      </c>
      <c r="AM481" s="81">
        <v>0</v>
      </c>
      <c r="AN481" s="81">
        <v>37</v>
      </c>
      <c r="AO481" s="81" t="b">
        <v>0</v>
      </c>
      <c r="AP481" s="81">
        <v>0</v>
      </c>
      <c r="AQ481" s="81"/>
      <c r="AR481" s="81"/>
      <c r="AS481" s="81" t="s">
        <v>3378</v>
      </c>
      <c r="AT481" s="86" t="str">
        <f>HYPERLINK("https://www.youtube.com/channel/UC3EuEcNNIg0UQSX6Nh0Wh-g")</f>
        <v>https://www.youtube.com/channel/UC3EuEcNNIg0UQSX6Nh0Wh-g</v>
      </c>
      <c r="AU481" s="81" t="str">
        <f>REPLACE(INDEX(GroupVertices[Group],MATCH("~"&amp;Vertices[[#This Row],[Vertex]],GroupVertices[Vertex],0)),1,1,"")</f>
        <v>2</v>
      </c>
      <c r="AV481" s="49" t="s">
        <v>3467</v>
      </c>
      <c r="AW481" s="49" t="s">
        <v>3467</v>
      </c>
      <c r="AX481" s="49" t="s">
        <v>2414</v>
      </c>
      <c r="AY481" s="49" t="s">
        <v>2414</v>
      </c>
      <c r="AZ481" s="49"/>
      <c r="BA481" s="49"/>
      <c r="BB481" s="117" t="s">
        <v>4141</v>
      </c>
      <c r="BC481" s="117" t="s">
        <v>4141</v>
      </c>
      <c r="BD481" s="117" t="s">
        <v>4828</v>
      </c>
      <c r="BE481" s="117" t="s">
        <v>4828</v>
      </c>
      <c r="BF481" s="2"/>
      <c r="BG481" s="3"/>
      <c r="BH481" s="3"/>
      <c r="BI481" s="3"/>
      <c r="BJ481" s="3"/>
    </row>
    <row r="482" spans="1:62" ht="15">
      <c r="A482" s="66" t="s">
        <v>672</v>
      </c>
      <c r="B482" s="67"/>
      <c r="C482" s="67"/>
      <c r="D482" s="68">
        <v>50</v>
      </c>
      <c r="E482" s="70"/>
      <c r="F482" s="105" t="str">
        <f>HYPERLINK("https://yt3.ggpht.com/ytc/AIf8zZRnMy8AbeXpHC-TOPC91qznhdTjp4R0sx_GEfHtgw=s88-c-k-c0x00ffffff-no-rj")</f>
        <v>https://yt3.ggpht.com/ytc/AIf8zZRnMy8AbeXpHC-TOPC91qznhdTjp4R0sx_GEfHtgw=s88-c-k-c0x00ffffff-no-rj</v>
      </c>
      <c r="G482" s="67"/>
      <c r="H482" s="71" t="s">
        <v>2904</v>
      </c>
      <c r="I482" s="72"/>
      <c r="J482" s="72" t="s">
        <v>159</v>
      </c>
      <c r="K482" s="71" t="s">
        <v>2904</v>
      </c>
      <c r="L482" s="75">
        <v>1</v>
      </c>
      <c r="M482" s="76">
        <v>1317.326904296875</v>
      </c>
      <c r="N482" s="76">
        <v>237.7146759033203</v>
      </c>
      <c r="O482" s="77"/>
      <c r="P482" s="78"/>
      <c r="Q482" s="78"/>
      <c r="R482" s="90"/>
      <c r="S482" s="49">
        <v>0</v>
      </c>
      <c r="T482" s="49">
        <v>1</v>
      </c>
      <c r="U482" s="50">
        <v>0</v>
      </c>
      <c r="V482" s="50">
        <v>0.220416</v>
      </c>
      <c r="W482" s="51"/>
      <c r="X482" s="51"/>
      <c r="Y482" s="51"/>
      <c r="Z482" s="50"/>
      <c r="AA482" s="73">
        <v>482</v>
      </c>
      <c r="AB482" s="73"/>
      <c r="AC482" s="74"/>
      <c r="AD482" s="81" t="s">
        <v>2904</v>
      </c>
      <c r="AE482" s="81"/>
      <c r="AF482" s="81"/>
      <c r="AG482" s="81"/>
      <c r="AH482" s="81"/>
      <c r="AI482" s="81" t="s">
        <v>3331</v>
      </c>
      <c r="AJ482" s="88">
        <v>41538.38425925926</v>
      </c>
      <c r="AK482" s="86" t="str">
        <f>HYPERLINK("https://yt3.ggpht.com/ytc/AIf8zZRnMy8AbeXpHC-TOPC91qznhdTjp4R0sx_GEfHtgw=s88-c-k-c0x00ffffff-no-rj")</f>
        <v>https://yt3.ggpht.com/ytc/AIf8zZRnMy8AbeXpHC-TOPC91qznhdTjp4R0sx_GEfHtgw=s88-c-k-c0x00ffffff-no-rj</v>
      </c>
      <c r="AL482" s="81">
        <v>107</v>
      </c>
      <c r="AM482" s="81">
        <v>0</v>
      </c>
      <c r="AN482" s="81">
        <v>1</v>
      </c>
      <c r="AO482" s="81" t="b">
        <v>0</v>
      </c>
      <c r="AP482" s="81">
        <v>7</v>
      </c>
      <c r="AQ482" s="81"/>
      <c r="AR482" s="81"/>
      <c r="AS482" s="81" t="s">
        <v>3378</v>
      </c>
      <c r="AT482" s="86" t="str">
        <f>HYPERLINK("https://www.youtube.com/channel/UCdgjP0_qabhlzlHQi4F6f3Q")</f>
        <v>https://www.youtube.com/channel/UCdgjP0_qabhlzlHQi4F6f3Q</v>
      </c>
      <c r="AU482" s="81" t="str">
        <f>REPLACE(INDEX(GroupVertices[Group],MATCH("~"&amp;Vertices[[#This Row],[Vertex]],GroupVertices[Vertex],0)),1,1,"")</f>
        <v>2</v>
      </c>
      <c r="AV482" s="49"/>
      <c r="AW482" s="49"/>
      <c r="AX482" s="49"/>
      <c r="AY482" s="49"/>
      <c r="AZ482" s="49"/>
      <c r="BA482" s="49"/>
      <c r="BB482" s="117" t="s">
        <v>4142</v>
      </c>
      <c r="BC482" s="117" t="s">
        <v>4142</v>
      </c>
      <c r="BD482" s="117" t="s">
        <v>4829</v>
      </c>
      <c r="BE482" s="117" t="s">
        <v>4829</v>
      </c>
      <c r="BF482" s="2"/>
      <c r="BG482" s="3"/>
      <c r="BH482" s="3"/>
      <c r="BI482" s="3"/>
      <c r="BJ482" s="3"/>
    </row>
    <row r="483" spans="1:62" ht="15">
      <c r="A483" s="66" t="s">
        <v>673</v>
      </c>
      <c r="B483" s="67"/>
      <c r="C483" s="67"/>
      <c r="D483" s="68">
        <v>50</v>
      </c>
      <c r="E483" s="70"/>
      <c r="F483" s="105" t="str">
        <f>HYPERLINK("https://yt3.ggpht.com/ytc/AIf8zZRrz6qUg0E9d48l5R81EtWNcoaj5sCZIDpgZA=s88-c-k-c0x00ffffff-no-rj")</f>
        <v>https://yt3.ggpht.com/ytc/AIf8zZRrz6qUg0E9d48l5R81EtWNcoaj5sCZIDpgZA=s88-c-k-c0x00ffffff-no-rj</v>
      </c>
      <c r="G483" s="67"/>
      <c r="H483" s="71" t="s">
        <v>2905</v>
      </c>
      <c r="I483" s="72"/>
      <c r="J483" s="72" t="s">
        <v>159</v>
      </c>
      <c r="K483" s="71" t="s">
        <v>2905</v>
      </c>
      <c r="L483" s="75">
        <v>1</v>
      </c>
      <c r="M483" s="76">
        <v>779.9176025390625</v>
      </c>
      <c r="N483" s="76">
        <v>2870.17041015625</v>
      </c>
      <c r="O483" s="77"/>
      <c r="P483" s="78"/>
      <c r="Q483" s="78"/>
      <c r="R483" s="90"/>
      <c r="S483" s="49">
        <v>0</v>
      </c>
      <c r="T483" s="49">
        <v>1</v>
      </c>
      <c r="U483" s="50">
        <v>0</v>
      </c>
      <c r="V483" s="50">
        <v>0.220416</v>
      </c>
      <c r="W483" s="51"/>
      <c r="X483" s="51"/>
      <c r="Y483" s="51"/>
      <c r="Z483" s="50"/>
      <c r="AA483" s="73">
        <v>483</v>
      </c>
      <c r="AB483" s="73"/>
      <c r="AC483" s="74"/>
      <c r="AD483" s="81" t="s">
        <v>2905</v>
      </c>
      <c r="AE483" s="81"/>
      <c r="AF483" s="81"/>
      <c r="AG483" s="81"/>
      <c r="AH483" s="81"/>
      <c r="AI483" s="81" t="s">
        <v>2139</v>
      </c>
      <c r="AJ483" s="88">
        <v>43115.11813657408</v>
      </c>
      <c r="AK483" s="86" t="str">
        <f>HYPERLINK("https://yt3.ggpht.com/ytc/AIf8zZRrz6qUg0E9d48l5R81EtWNcoaj5sCZIDpgZA=s88-c-k-c0x00ffffff-no-rj")</f>
        <v>https://yt3.ggpht.com/ytc/AIf8zZRrz6qUg0E9d48l5R81EtWNcoaj5sCZIDpgZA=s88-c-k-c0x00ffffff-no-rj</v>
      </c>
      <c r="AL483" s="81">
        <v>0</v>
      </c>
      <c r="AM483" s="81">
        <v>0</v>
      </c>
      <c r="AN483" s="81">
        <v>10</v>
      </c>
      <c r="AO483" s="81" t="b">
        <v>0</v>
      </c>
      <c r="AP483" s="81">
        <v>0</v>
      </c>
      <c r="AQ483" s="81"/>
      <c r="AR483" s="81"/>
      <c r="AS483" s="81" t="s">
        <v>3378</v>
      </c>
      <c r="AT483" s="86" t="str">
        <f>HYPERLINK("https://www.youtube.com/channel/UCDQJbkCU-bw60C5jWloiK5w")</f>
        <v>https://www.youtube.com/channel/UCDQJbkCU-bw60C5jWloiK5w</v>
      </c>
      <c r="AU483" s="81" t="str">
        <f>REPLACE(INDEX(GroupVertices[Group],MATCH("~"&amp;Vertices[[#This Row],[Vertex]],GroupVertices[Vertex],0)),1,1,"")</f>
        <v>2</v>
      </c>
      <c r="AV483" s="49"/>
      <c r="AW483" s="49"/>
      <c r="AX483" s="49"/>
      <c r="AY483" s="49"/>
      <c r="AZ483" s="49"/>
      <c r="BA483" s="49"/>
      <c r="BB483" s="117" t="s">
        <v>4143</v>
      </c>
      <c r="BC483" s="117" t="s">
        <v>4143</v>
      </c>
      <c r="BD483" s="117" t="s">
        <v>4830</v>
      </c>
      <c r="BE483" s="117" t="s">
        <v>4830</v>
      </c>
      <c r="BF483" s="2"/>
      <c r="BG483" s="3"/>
      <c r="BH483" s="3"/>
      <c r="BI483" s="3"/>
      <c r="BJ483" s="3"/>
    </row>
    <row r="484" spans="1:62" ht="15">
      <c r="A484" s="66" t="s">
        <v>674</v>
      </c>
      <c r="B484" s="67"/>
      <c r="C484" s="67"/>
      <c r="D484" s="68">
        <v>50</v>
      </c>
      <c r="E484" s="70"/>
      <c r="F484" s="105" t="str">
        <f>HYPERLINK("https://yt3.ggpht.com/ytc/AIf8zZQzHY6nX-s1w_WtVNOT9O_0BbW8wxY4YaY5DFOftA=s88-c-k-c0x00ffffff-no-rj")</f>
        <v>https://yt3.ggpht.com/ytc/AIf8zZQzHY6nX-s1w_WtVNOT9O_0BbW8wxY4YaY5DFOftA=s88-c-k-c0x00ffffff-no-rj</v>
      </c>
      <c r="G484" s="67"/>
      <c r="H484" s="71" t="s">
        <v>2906</v>
      </c>
      <c r="I484" s="72"/>
      <c r="J484" s="72" t="s">
        <v>159</v>
      </c>
      <c r="K484" s="71" t="s">
        <v>2906</v>
      </c>
      <c r="L484" s="75">
        <v>1</v>
      </c>
      <c r="M484" s="76">
        <v>1785.4674072265625</v>
      </c>
      <c r="N484" s="76">
        <v>417.9634094238281</v>
      </c>
      <c r="O484" s="77"/>
      <c r="P484" s="78"/>
      <c r="Q484" s="78"/>
      <c r="R484" s="90"/>
      <c r="S484" s="49">
        <v>0</v>
      </c>
      <c r="T484" s="49">
        <v>1</v>
      </c>
      <c r="U484" s="50">
        <v>0</v>
      </c>
      <c r="V484" s="50">
        <v>0.220416</v>
      </c>
      <c r="W484" s="51"/>
      <c r="X484" s="51"/>
      <c r="Y484" s="51"/>
      <c r="Z484" s="50"/>
      <c r="AA484" s="73">
        <v>484</v>
      </c>
      <c r="AB484" s="73"/>
      <c r="AC484" s="74"/>
      <c r="AD484" s="81" t="s">
        <v>2906</v>
      </c>
      <c r="AE484" s="81"/>
      <c r="AF484" s="81"/>
      <c r="AG484" s="81"/>
      <c r="AH484" s="81"/>
      <c r="AI484" s="81" t="s">
        <v>2140</v>
      </c>
      <c r="AJ484" s="88">
        <v>40844.30732638889</v>
      </c>
      <c r="AK484" s="86" t="str">
        <f>HYPERLINK("https://yt3.ggpht.com/ytc/AIf8zZQzHY6nX-s1w_WtVNOT9O_0BbW8wxY4YaY5DFOftA=s88-c-k-c0x00ffffff-no-rj")</f>
        <v>https://yt3.ggpht.com/ytc/AIf8zZQzHY6nX-s1w_WtVNOT9O_0BbW8wxY4YaY5DFOftA=s88-c-k-c0x00ffffff-no-rj</v>
      </c>
      <c r="AL484" s="81">
        <v>0</v>
      </c>
      <c r="AM484" s="81">
        <v>0</v>
      </c>
      <c r="AN484" s="81">
        <v>0</v>
      </c>
      <c r="AO484" s="81" t="b">
        <v>0</v>
      </c>
      <c r="AP484" s="81">
        <v>0</v>
      </c>
      <c r="AQ484" s="81"/>
      <c r="AR484" s="81"/>
      <c r="AS484" s="81" t="s">
        <v>3378</v>
      </c>
      <c r="AT484" s="86" t="str">
        <f>HYPERLINK("https://www.youtube.com/channel/UCffo7y78j8FY7LpvGImlNtw")</f>
        <v>https://www.youtube.com/channel/UCffo7y78j8FY7LpvGImlNtw</v>
      </c>
      <c r="AU484" s="81" t="str">
        <f>REPLACE(INDEX(GroupVertices[Group],MATCH("~"&amp;Vertices[[#This Row],[Vertex]],GroupVertices[Vertex],0)),1,1,"")</f>
        <v>2</v>
      </c>
      <c r="AV484" s="49"/>
      <c r="AW484" s="49"/>
      <c r="AX484" s="49"/>
      <c r="AY484" s="49"/>
      <c r="AZ484" s="49"/>
      <c r="BA484" s="49"/>
      <c r="BB484" s="117" t="s">
        <v>4144</v>
      </c>
      <c r="BC484" s="117" t="s">
        <v>4144</v>
      </c>
      <c r="BD484" s="117" t="s">
        <v>4831</v>
      </c>
      <c r="BE484" s="117" t="s">
        <v>4831</v>
      </c>
      <c r="BF484" s="2"/>
      <c r="BG484" s="3"/>
      <c r="BH484" s="3"/>
      <c r="BI484" s="3"/>
      <c r="BJ484" s="3"/>
    </row>
    <row r="485" spans="1:62" ht="15">
      <c r="A485" s="66" t="s">
        <v>676</v>
      </c>
      <c r="B485" s="67"/>
      <c r="C485" s="67"/>
      <c r="D485" s="68">
        <v>50</v>
      </c>
      <c r="E485" s="70"/>
      <c r="F485" s="105" t="str">
        <f>HYPERLINK("https://yt3.ggpht.com/ytc/AIf8zZQcCHhXitDO_RWxIspfuP4kgscp2f0gVoit3MxZxQ=s88-c-k-c0x00ffffff-no-rj")</f>
        <v>https://yt3.ggpht.com/ytc/AIf8zZQcCHhXitDO_RWxIspfuP4kgscp2f0gVoit3MxZxQ=s88-c-k-c0x00ffffff-no-rj</v>
      </c>
      <c r="G485" s="67"/>
      <c r="H485" s="71" t="s">
        <v>2908</v>
      </c>
      <c r="I485" s="72"/>
      <c r="J485" s="72" t="s">
        <v>159</v>
      </c>
      <c r="K485" s="71" t="s">
        <v>2908</v>
      </c>
      <c r="L485" s="75">
        <v>1</v>
      </c>
      <c r="M485" s="76">
        <v>1226.7520751953125</v>
      </c>
      <c r="N485" s="76">
        <v>3460.816162109375</v>
      </c>
      <c r="O485" s="77"/>
      <c r="P485" s="78"/>
      <c r="Q485" s="78"/>
      <c r="R485" s="90"/>
      <c r="S485" s="49">
        <v>0</v>
      </c>
      <c r="T485" s="49">
        <v>1</v>
      </c>
      <c r="U485" s="50">
        <v>0</v>
      </c>
      <c r="V485" s="50">
        <v>0.220416</v>
      </c>
      <c r="W485" s="51"/>
      <c r="X485" s="51"/>
      <c r="Y485" s="51"/>
      <c r="Z485" s="50"/>
      <c r="AA485" s="73">
        <v>485</v>
      </c>
      <c r="AB485" s="73"/>
      <c r="AC485" s="74"/>
      <c r="AD485" s="81" t="s">
        <v>2908</v>
      </c>
      <c r="AE485" s="81"/>
      <c r="AF485" s="81"/>
      <c r="AG485" s="81"/>
      <c r="AH485" s="81"/>
      <c r="AI485" s="81" t="s">
        <v>2142</v>
      </c>
      <c r="AJ485" s="88">
        <v>41246.34953703704</v>
      </c>
      <c r="AK485" s="86" t="str">
        <f>HYPERLINK("https://yt3.ggpht.com/ytc/AIf8zZQcCHhXitDO_RWxIspfuP4kgscp2f0gVoit3MxZxQ=s88-c-k-c0x00ffffff-no-rj")</f>
        <v>https://yt3.ggpht.com/ytc/AIf8zZQcCHhXitDO_RWxIspfuP4kgscp2f0gVoit3MxZxQ=s88-c-k-c0x00ffffff-no-rj</v>
      </c>
      <c r="AL485" s="81">
        <v>0</v>
      </c>
      <c r="AM485" s="81">
        <v>0</v>
      </c>
      <c r="AN485" s="81">
        <v>3</v>
      </c>
      <c r="AO485" s="81" t="b">
        <v>0</v>
      </c>
      <c r="AP485" s="81">
        <v>0</v>
      </c>
      <c r="AQ485" s="81"/>
      <c r="AR485" s="81"/>
      <c r="AS485" s="81" t="s">
        <v>3378</v>
      </c>
      <c r="AT485" s="86" t="str">
        <f>HYPERLINK("https://www.youtube.com/channel/UCj-buA1HiXucf5YyMyc-YJQ")</f>
        <v>https://www.youtube.com/channel/UCj-buA1HiXucf5YyMyc-YJQ</v>
      </c>
      <c r="AU485" s="81" t="str">
        <f>REPLACE(INDEX(GroupVertices[Group],MATCH("~"&amp;Vertices[[#This Row],[Vertex]],GroupVertices[Vertex],0)),1,1,"")</f>
        <v>2</v>
      </c>
      <c r="AV485" s="49"/>
      <c r="AW485" s="49"/>
      <c r="AX485" s="49"/>
      <c r="AY485" s="49"/>
      <c r="AZ485" s="49"/>
      <c r="BA485" s="49"/>
      <c r="BB485" s="117" t="s">
        <v>4146</v>
      </c>
      <c r="BC485" s="117" t="s">
        <v>4146</v>
      </c>
      <c r="BD485" s="117" t="s">
        <v>4833</v>
      </c>
      <c r="BE485" s="117" t="s">
        <v>4833</v>
      </c>
      <c r="BF485" s="2"/>
      <c r="BG485" s="3"/>
      <c r="BH485" s="3"/>
      <c r="BI485" s="3"/>
      <c r="BJ485" s="3"/>
    </row>
    <row r="486" spans="1:62" ht="15">
      <c r="A486" s="66" t="s">
        <v>677</v>
      </c>
      <c r="B486" s="67"/>
      <c r="C486" s="67"/>
      <c r="D486" s="68">
        <v>50</v>
      </c>
      <c r="E486" s="70"/>
      <c r="F486" s="105" t="str">
        <f>HYPERLINK("https://yt3.ggpht.com/ytc/AIf8zZQtCxLRgmgfKDzrDRNyC_XFmUqOIxEs5LBlKg3row=s88-c-k-c0x00ffffff-no-rj")</f>
        <v>https://yt3.ggpht.com/ytc/AIf8zZQtCxLRgmgfKDzrDRNyC_XFmUqOIxEs5LBlKg3row=s88-c-k-c0x00ffffff-no-rj</v>
      </c>
      <c r="G486" s="67"/>
      <c r="H486" s="71" t="s">
        <v>2909</v>
      </c>
      <c r="I486" s="72"/>
      <c r="J486" s="72" t="s">
        <v>159</v>
      </c>
      <c r="K486" s="71" t="s">
        <v>2909</v>
      </c>
      <c r="L486" s="75">
        <v>1</v>
      </c>
      <c r="M486" s="76">
        <v>3579.09521484375</v>
      </c>
      <c r="N486" s="76">
        <v>2556.6962890625</v>
      </c>
      <c r="O486" s="77"/>
      <c r="P486" s="78"/>
      <c r="Q486" s="78"/>
      <c r="R486" s="90"/>
      <c r="S486" s="49">
        <v>0</v>
      </c>
      <c r="T486" s="49">
        <v>1</v>
      </c>
      <c r="U486" s="50">
        <v>0</v>
      </c>
      <c r="V486" s="50">
        <v>0.220416</v>
      </c>
      <c r="W486" s="51"/>
      <c r="X486" s="51"/>
      <c r="Y486" s="51"/>
      <c r="Z486" s="50"/>
      <c r="AA486" s="73">
        <v>486</v>
      </c>
      <c r="AB486" s="73"/>
      <c r="AC486" s="74"/>
      <c r="AD486" s="81" t="s">
        <v>2909</v>
      </c>
      <c r="AE486" s="81"/>
      <c r="AF486" s="81"/>
      <c r="AG486" s="81"/>
      <c r="AH486" s="81"/>
      <c r="AI486" s="81" t="s">
        <v>2143</v>
      </c>
      <c r="AJ486" s="88">
        <v>40898.64662037037</v>
      </c>
      <c r="AK486" s="86" t="str">
        <f>HYPERLINK("https://yt3.ggpht.com/ytc/AIf8zZQtCxLRgmgfKDzrDRNyC_XFmUqOIxEs5LBlKg3row=s88-c-k-c0x00ffffff-no-rj")</f>
        <v>https://yt3.ggpht.com/ytc/AIf8zZQtCxLRgmgfKDzrDRNyC_XFmUqOIxEs5LBlKg3row=s88-c-k-c0x00ffffff-no-rj</v>
      </c>
      <c r="AL486" s="81">
        <v>568</v>
      </c>
      <c r="AM486" s="81">
        <v>0</v>
      </c>
      <c r="AN486" s="81">
        <v>18</v>
      </c>
      <c r="AO486" s="81" t="b">
        <v>0</v>
      </c>
      <c r="AP486" s="81">
        <v>16</v>
      </c>
      <c r="AQ486" s="81"/>
      <c r="AR486" s="81"/>
      <c r="AS486" s="81" t="s">
        <v>3378</v>
      </c>
      <c r="AT486" s="86" t="str">
        <f>HYPERLINK("https://www.youtube.com/channel/UCocZWg7OOiR8TEA4Oz_qM5w")</f>
        <v>https://www.youtube.com/channel/UCocZWg7OOiR8TEA4Oz_qM5w</v>
      </c>
      <c r="AU486" s="81" t="str">
        <f>REPLACE(INDEX(GroupVertices[Group],MATCH("~"&amp;Vertices[[#This Row],[Vertex]],GroupVertices[Vertex],0)),1,1,"")</f>
        <v>2</v>
      </c>
      <c r="AV486" s="49"/>
      <c r="AW486" s="49"/>
      <c r="AX486" s="49"/>
      <c r="AY486" s="49"/>
      <c r="AZ486" s="49"/>
      <c r="BA486" s="49"/>
      <c r="BB486" s="117" t="s">
        <v>4147</v>
      </c>
      <c r="BC486" s="117" t="s">
        <v>4147</v>
      </c>
      <c r="BD486" s="117" t="s">
        <v>4834</v>
      </c>
      <c r="BE486" s="117" t="s">
        <v>4834</v>
      </c>
      <c r="BF486" s="2"/>
      <c r="BG486" s="3"/>
      <c r="BH486" s="3"/>
      <c r="BI486" s="3"/>
      <c r="BJ486" s="3"/>
    </row>
    <row r="487" spans="1:62" ht="15">
      <c r="A487" s="66" t="s">
        <v>678</v>
      </c>
      <c r="B487" s="67"/>
      <c r="C487" s="67"/>
      <c r="D487" s="68">
        <v>50</v>
      </c>
      <c r="E487" s="70"/>
      <c r="F487" s="105" t="str">
        <f>HYPERLINK("https://yt3.ggpht.com/ytc/AIf8zZS_PrTYLRvs3mH0rxzvxYNenNCi8LhMFKwA1g=s88-c-k-c0x00ffffff-no-rj")</f>
        <v>https://yt3.ggpht.com/ytc/AIf8zZS_PrTYLRvs3mH0rxzvxYNenNCi8LhMFKwA1g=s88-c-k-c0x00ffffff-no-rj</v>
      </c>
      <c r="G487" s="67"/>
      <c r="H487" s="71" t="s">
        <v>2910</v>
      </c>
      <c r="I487" s="72"/>
      <c r="J487" s="72" t="s">
        <v>159</v>
      </c>
      <c r="K487" s="71" t="s">
        <v>2910</v>
      </c>
      <c r="L487" s="75">
        <v>1</v>
      </c>
      <c r="M487" s="76">
        <v>1018.3888549804688</v>
      </c>
      <c r="N487" s="76">
        <v>3342.570068359375</v>
      </c>
      <c r="O487" s="77"/>
      <c r="P487" s="78"/>
      <c r="Q487" s="78"/>
      <c r="R487" s="90"/>
      <c r="S487" s="49">
        <v>0</v>
      </c>
      <c r="T487" s="49">
        <v>1</v>
      </c>
      <c r="U487" s="50">
        <v>0</v>
      </c>
      <c r="V487" s="50">
        <v>0.220416</v>
      </c>
      <c r="W487" s="51"/>
      <c r="X487" s="51"/>
      <c r="Y487" s="51"/>
      <c r="Z487" s="50"/>
      <c r="AA487" s="73">
        <v>487</v>
      </c>
      <c r="AB487" s="73"/>
      <c r="AC487" s="74"/>
      <c r="AD487" s="81" t="s">
        <v>2910</v>
      </c>
      <c r="AE487" s="81"/>
      <c r="AF487" s="81"/>
      <c r="AG487" s="81"/>
      <c r="AH487" s="81"/>
      <c r="AI487" s="81" t="s">
        <v>2144</v>
      </c>
      <c r="AJ487" s="88">
        <v>39531.87327546296</v>
      </c>
      <c r="AK487" s="86" t="str">
        <f>HYPERLINK("https://yt3.ggpht.com/ytc/AIf8zZS_PrTYLRvs3mH0rxzvxYNenNCi8LhMFKwA1g=s88-c-k-c0x00ffffff-no-rj")</f>
        <v>https://yt3.ggpht.com/ytc/AIf8zZS_PrTYLRvs3mH0rxzvxYNenNCi8LhMFKwA1g=s88-c-k-c0x00ffffff-no-rj</v>
      </c>
      <c r="AL487" s="81">
        <v>7</v>
      </c>
      <c r="AM487" s="81">
        <v>0</v>
      </c>
      <c r="AN487" s="81">
        <v>0</v>
      </c>
      <c r="AO487" s="81" t="b">
        <v>0</v>
      </c>
      <c r="AP487" s="81">
        <v>1</v>
      </c>
      <c r="AQ487" s="81"/>
      <c r="AR487" s="81"/>
      <c r="AS487" s="81" t="s">
        <v>3378</v>
      </c>
      <c r="AT487" s="86" t="str">
        <f>HYPERLINK("https://www.youtube.com/channel/UCchKeQfGiP0vCh_Z47NnHLg")</f>
        <v>https://www.youtube.com/channel/UCchKeQfGiP0vCh_Z47NnHLg</v>
      </c>
      <c r="AU487" s="81" t="str">
        <f>REPLACE(INDEX(GroupVertices[Group],MATCH("~"&amp;Vertices[[#This Row],[Vertex]],GroupVertices[Vertex],0)),1,1,"")</f>
        <v>2</v>
      </c>
      <c r="AV487" s="49"/>
      <c r="AW487" s="49"/>
      <c r="AX487" s="49"/>
      <c r="AY487" s="49"/>
      <c r="AZ487" s="49"/>
      <c r="BA487" s="49"/>
      <c r="BB487" s="117" t="s">
        <v>4148</v>
      </c>
      <c r="BC487" s="117" t="s">
        <v>4148</v>
      </c>
      <c r="BD487" s="117" t="s">
        <v>4835</v>
      </c>
      <c r="BE487" s="117" t="s">
        <v>4835</v>
      </c>
      <c r="BF487" s="2"/>
      <c r="BG487" s="3"/>
      <c r="BH487" s="3"/>
      <c r="BI487" s="3"/>
      <c r="BJ487" s="3"/>
    </row>
    <row r="488" spans="1:62" ht="15">
      <c r="A488" s="66" t="s">
        <v>679</v>
      </c>
      <c r="B488" s="67"/>
      <c r="C488" s="67"/>
      <c r="D488" s="68">
        <v>50</v>
      </c>
      <c r="E488" s="70"/>
      <c r="F488" s="105" t="str">
        <f>HYPERLINK("https://yt3.ggpht.com/fHAjelgO-ueCFX98hN2sldDCLhihQmpnMxwoUFUdK8XQneYc-_kUJknKMUywPyLNdXAd4CJtbwM=s88-c-k-c0x00ffffff-no-rj")</f>
        <v>https://yt3.ggpht.com/fHAjelgO-ueCFX98hN2sldDCLhihQmpnMxwoUFUdK8XQneYc-_kUJknKMUywPyLNdXAd4CJtbwM=s88-c-k-c0x00ffffff-no-rj</v>
      </c>
      <c r="G488" s="67"/>
      <c r="H488" s="71" t="s">
        <v>2911</v>
      </c>
      <c r="I488" s="72"/>
      <c r="J488" s="72" t="s">
        <v>159</v>
      </c>
      <c r="K488" s="71" t="s">
        <v>2911</v>
      </c>
      <c r="L488" s="75">
        <v>1</v>
      </c>
      <c r="M488" s="76">
        <v>792.9918212890625</v>
      </c>
      <c r="N488" s="76">
        <v>2079.708251953125</v>
      </c>
      <c r="O488" s="77"/>
      <c r="P488" s="78"/>
      <c r="Q488" s="78"/>
      <c r="R488" s="90"/>
      <c r="S488" s="49">
        <v>0</v>
      </c>
      <c r="T488" s="49">
        <v>1</v>
      </c>
      <c r="U488" s="50">
        <v>0</v>
      </c>
      <c r="V488" s="50">
        <v>0.220416</v>
      </c>
      <c r="W488" s="51"/>
      <c r="X488" s="51"/>
      <c r="Y488" s="51"/>
      <c r="Z488" s="50"/>
      <c r="AA488" s="73">
        <v>488</v>
      </c>
      <c r="AB488" s="73"/>
      <c r="AC488" s="74"/>
      <c r="AD488" s="81" t="s">
        <v>2911</v>
      </c>
      <c r="AE488" s="81"/>
      <c r="AF488" s="81"/>
      <c r="AG488" s="81"/>
      <c r="AH488" s="81"/>
      <c r="AI488" s="81" t="s">
        <v>2145</v>
      </c>
      <c r="AJ488" s="88">
        <v>39333.44212962963</v>
      </c>
      <c r="AK488" s="86" t="str">
        <f>HYPERLINK("https://yt3.ggpht.com/fHAjelgO-ueCFX98hN2sldDCLhihQmpnMxwoUFUdK8XQneYc-_kUJknKMUywPyLNdXAd4CJtbwM=s88-c-k-c0x00ffffff-no-rj")</f>
        <v>https://yt3.ggpht.com/fHAjelgO-ueCFX98hN2sldDCLhihQmpnMxwoUFUdK8XQneYc-_kUJknKMUywPyLNdXAd4CJtbwM=s88-c-k-c0x00ffffff-no-rj</v>
      </c>
      <c r="AL488" s="81">
        <v>65</v>
      </c>
      <c r="AM488" s="81">
        <v>0</v>
      </c>
      <c r="AN488" s="81">
        <v>1</v>
      </c>
      <c r="AO488" s="81" t="b">
        <v>0</v>
      </c>
      <c r="AP488" s="81">
        <v>1</v>
      </c>
      <c r="AQ488" s="81"/>
      <c r="AR488" s="81"/>
      <c r="AS488" s="81" t="s">
        <v>3378</v>
      </c>
      <c r="AT488" s="86" t="str">
        <f>HYPERLINK("https://www.youtube.com/channel/UC1CbSDBl4oSk9IZ9q1lH3gg")</f>
        <v>https://www.youtube.com/channel/UC1CbSDBl4oSk9IZ9q1lH3gg</v>
      </c>
      <c r="AU488" s="81" t="str">
        <f>REPLACE(INDEX(GroupVertices[Group],MATCH("~"&amp;Vertices[[#This Row],[Vertex]],GroupVertices[Vertex],0)),1,1,"")</f>
        <v>2</v>
      </c>
      <c r="AV488" s="49"/>
      <c r="AW488" s="49"/>
      <c r="AX488" s="49"/>
      <c r="AY488" s="49"/>
      <c r="AZ488" s="49"/>
      <c r="BA488" s="49"/>
      <c r="BB488" s="117" t="s">
        <v>4149</v>
      </c>
      <c r="BC488" s="117" t="s">
        <v>4149</v>
      </c>
      <c r="BD488" s="117" t="s">
        <v>4836</v>
      </c>
      <c r="BE488" s="117" t="s">
        <v>4836</v>
      </c>
      <c r="BF488" s="2"/>
      <c r="BG488" s="3"/>
      <c r="BH488" s="3"/>
      <c r="BI488" s="3"/>
      <c r="BJ488" s="3"/>
    </row>
    <row r="489" spans="1:62" ht="15">
      <c r="A489" s="66" t="s">
        <v>680</v>
      </c>
      <c r="B489" s="67"/>
      <c r="C489" s="67"/>
      <c r="D489" s="68">
        <v>50</v>
      </c>
      <c r="E489" s="70"/>
      <c r="F489" s="105" t="str">
        <f>HYPERLINK("https://yt3.ggpht.com/ytc/AIf8zZR-5t0wiSBn7NQyj3zCRNH12bk7OJrCaa4MyA=s88-c-k-c0x00ffffff-no-rj")</f>
        <v>https://yt3.ggpht.com/ytc/AIf8zZR-5t0wiSBn7NQyj3zCRNH12bk7OJrCaa4MyA=s88-c-k-c0x00ffffff-no-rj</v>
      </c>
      <c r="G489" s="67"/>
      <c r="H489" s="71" t="s">
        <v>2912</v>
      </c>
      <c r="I489" s="72"/>
      <c r="J489" s="72" t="s">
        <v>159</v>
      </c>
      <c r="K489" s="71" t="s">
        <v>2912</v>
      </c>
      <c r="L489" s="75">
        <v>1</v>
      </c>
      <c r="M489" s="76">
        <v>2335.24365234375</v>
      </c>
      <c r="N489" s="76">
        <v>2138.934326171875</v>
      </c>
      <c r="O489" s="77"/>
      <c r="P489" s="78"/>
      <c r="Q489" s="78"/>
      <c r="R489" s="90"/>
      <c r="S489" s="49">
        <v>0</v>
      </c>
      <c r="T489" s="49">
        <v>1</v>
      </c>
      <c r="U489" s="50">
        <v>0</v>
      </c>
      <c r="V489" s="50">
        <v>0.220416</v>
      </c>
      <c r="W489" s="51"/>
      <c r="X489" s="51"/>
      <c r="Y489" s="51"/>
      <c r="Z489" s="50"/>
      <c r="AA489" s="73">
        <v>489</v>
      </c>
      <c r="AB489" s="73"/>
      <c r="AC489" s="74"/>
      <c r="AD489" s="81" t="s">
        <v>2912</v>
      </c>
      <c r="AE489" s="81"/>
      <c r="AF489" s="81"/>
      <c r="AG489" s="81"/>
      <c r="AH489" s="81"/>
      <c r="AI489" s="81" t="s">
        <v>2146</v>
      </c>
      <c r="AJ489" s="88">
        <v>43858.235925925925</v>
      </c>
      <c r="AK489" s="86" t="str">
        <f>HYPERLINK("https://yt3.ggpht.com/ytc/AIf8zZR-5t0wiSBn7NQyj3zCRNH12bk7OJrCaa4MyA=s88-c-k-c0x00ffffff-no-rj")</f>
        <v>https://yt3.ggpht.com/ytc/AIf8zZR-5t0wiSBn7NQyj3zCRNH12bk7OJrCaa4MyA=s88-c-k-c0x00ffffff-no-rj</v>
      </c>
      <c r="AL489" s="81">
        <v>0</v>
      </c>
      <c r="AM489" s="81">
        <v>0</v>
      </c>
      <c r="AN489" s="81">
        <v>1</v>
      </c>
      <c r="AO489" s="81" t="b">
        <v>0</v>
      </c>
      <c r="AP489" s="81">
        <v>0</v>
      </c>
      <c r="AQ489" s="81"/>
      <c r="AR489" s="81"/>
      <c r="AS489" s="81" t="s">
        <v>3378</v>
      </c>
      <c r="AT489" s="86" t="str">
        <f>HYPERLINK("https://www.youtube.com/channel/UCdKu7f4_xvDk76cBywWEYqA")</f>
        <v>https://www.youtube.com/channel/UCdKu7f4_xvDk76cBywWEYqA</v>
      </c>
      <c r="AU489" s="81" t="str">
        <f>REPLACE(INDEX(GroupVertices[Group],MATCH("~"&amp;Vertices[[#This Row],[Vertex]],GroupVertices[Vertex],0)),1,1,"")</f>
        <v>2</v>
      </c>
      <c r="AV489" s="49"/>
      <c r="AW489" s="49"/>
      <c r="AX489" s="49"/>
      <c r="AY489" s="49"/>
      <c r="AZ489" s="49"/>
      <c r="BA489" s="49"/>
      <c r="BB489" s="117" t="s">
        <v>4150</v>
      </c>
      <c r="BC489" s="117" t="s">
        <v>4150</v>
      </c>
      <c r="BD489" s="117" t="s">
        <v>4837</v>
      </c>
      <c r="BE489" s="117" t="s">
        <v>4837</v>
      </c>
      <c r="BF489" s="2"/>
      <c r="BG489" s="3"/>
      <c r="BH489" s="3"/>
      <c r="BI489" s="3"/>
      <c r="BJ489" s="3"/>
    </row>
    <row r="490" spans="1:62" ht="15">
      <c r="A490" s="66" t="s">
        <v>681</v>
      </c>
      <c r="B490" s="67"/>
      <c r="C490" s="67"/>
      <c r="D490" s="68">
        <v>50</v>
      </c>
      <c r="E490" s="70"/>
      <c r="F490" s="105" t="str">
        <f>HYPERLINK("https://yt3.ggpht.com/ytc/AIf8zZTllhCnf8YPChTIzV-GcUop_UW6ClXMwW6v-w=s88-c-k-c0x00ffffff-no-rj")</f>
        <v>https://yt3.ggpht.com/ytc/AIf8zZTllhCnf8YPChTIzV-GcUop_UW6ClXMwW6v-w=s88-c-k-c0x00ffffff-no-rj</v>
      </c>
      <c r="G490" s="67"/>
      <c r="H490" s="71" t="s">
        <v>2913</v>
      </c>
      <c r="I490" s="72"/>
      <c r="J490" s="72" t="s">
        <v>159</v>
      </c>
      <c r="K490" s="71" t="s">
        <v>2913</v>
      </c>
      <c r="L490" s="75">
        <v>1</v>
      </c>
      <c r="M490" s="76">
        <v>2383.134765625</v>
      </c>
      <c r="N490" s="76">
        <v>1663.1998291015625</v>
      </c>
      <c r="O490" s="77"/>
      <c r="P490" s="78"/>
      <c r="Q490" s="78"/>
      <c r="R490" s="90"/>
      <c r="S490" s="49">
        <v>0</v>
      </c>
      <c r="T490" s="49">
        <v>1</v>
      </c>
      <c r="U490" s="50">
        <v>0</v>
      </c>
      <c r="V490" s="50">
        <v>0.220416</v>
      </c>
      <c r="W490" s="51"/>
      <c r="X490" s="51"/>
      <c r="Y490" s="51"/>
      <c r="Z490" s="50"/>
      <c r="AA490" s="73">
        <v>490</v>
      </c>
      <c r="AB490" s="73"/>
      <c r="AC490" s="74"/>
      <c r="AD490" s="81" t="s">
        <v>2913</v>
      </c>
      <c r="AE490" s="81"/>
      <c r="AF490" s="81"/>
      <c r="AG490" s="81"/>
      <c r="AH490" s="81"/>
      <c r="AI490" s="81" t="s">
        <v>2147</v>
      </c>
      <c r="AJ490" s="88">
        <v>39803.93880787037</v>
      </c>
      <c r="AK490" s="86" t="str">
        <f>HYPERLINK("https://yt3.ggpht.com/ytc/AIf8zZTllhCnf8YPChTIzV-GcUop_UW6ClXMwW6v-w=s88-c-k-c0x00ffffff-no-rj")</f>
        <v>https://yt3.ggpht.com/ytc/AIf8zZTllhCnf8YPChTIzV-GcUop_UW6ClXMwW6v-w=s88-c-k-c0x00ffffff-no-rj</v>
      </c>
      <c r="AL490" s="81">
        <v>2581</v>
      </c>
      <c r="AM490" s="81">
        <v>0</v>
      </c>
      <c r="AN490" s="81">
        <v>0</v>
      </c>
      <c r="AO490" s="81" t="b">
        <v>0</v>
      </c>
      <c r="AP490" s="81">
        <v>2</v>
      </c>
      <c r="AQ490" s="81"/>
      <c r="AR490" s="81"/>
      <c r="AS490" s="81" t="s">
        <v>3378</v>
      </c>
      <c r="AT490" s="86" t="str">
        <f>HYPERLINK("https://www.youtube.com/channel/UCMCMHhN7IaRxwHrtKmHvReQ")</f>
        <v>https://www.youtube.com/channel/UCMCMHhN7IaRxwHrtKmHvReQ</v>
      </c>
      <c r="AU490" s="81" t="str">
        <f>REPLACE(INDEX(GroupVertices[Group],MATCH("~"&amp;Vertices[[#This Row],[Vertex]],GroupVertices[Vertex],0)),1,1,"")</f>
        <v>2</v>
      </c>
      <c r="AV490" s="49"/>
      <c r="AW490" s="49"/>
      <c r="AX490" s="49"/>
      <c r="AY490" s="49"/>
      <c r="AZ490" s="49"/>
      <c r="BA490" s="49"/>
      <c r="BB490" s="117" t="s">
        <v>4151</v>
      </c>
      <c r="BC490" s="117" t="s">
        <v>4151</v>
      </c>
      <c r="BD490" s="117" t="s">
        <v>4838</v>
      </c>
      <c r="BE490" s="117" t="s">
        <v>4838</v>
      </c>
      <c r="BF490" s="2"/>
      <c r="BG490" s="3"/>
      <c r="BH490" s="3"/>
      <c r="BI490" s="3"/>
      <c r="BJ490" s="3"/>
    </row>
    <row r="491" spans="1:62" ht="15">
      <c r="A491" s="66" t="s">
        <v>682</v>
      </c>
      <c r="B491" s="67"/>
      <c r="C491" s="67"/>
      <c r="D491" s="68">
        <v>50</v>
      </c>
      <c r="E491" s="70"/>
      <c r="F491" s="105" t="str">
        <f>HYPERLINK("https://yt3.ggpht.com/ytc/AIf8zZQmtIIFsaBMMdUPx6394e9HbfsDAfGa8nXvNsTm=s88-c-k-c0x00ffffff-no-rj")</f>
        <v>https://yt3.ggpht.com/ytc/AIf8zZQmtIIFsaBMMdUPx6394e9HbfsDAfGa8nXvNsTm=s88-c-k-c0x00ffffff-no-rj</v>
      </c>
      <c r="G491" s="67"/>
      <c r="H491" s="71" t="s">
        <v>2914</v>
      </c>
      <c r="I491" s="72"/>
      <c r="J491" s="72" t="s">
        <v>159</v>
      </c>
      <c r="K491" s="71" t="s">
        <v>2914</v>
      </c>
      <c r="L491" s="75">
        <v>1</v>
      </c>
      <c r="M491" s="76">
        <v>3304.125</v>
      </c>
      <c r="N491" s="76">
        <v>762.87060546875</v>
      </c>
      <c r="O491" s="77"/>
      <c r="P491" s="78"/>
      <c r="Q491" s="78"/>
      <c r="R491" s="90"/>
      <c r="S491" s="49">
        <v>0</v>
      </c>
      <c r="T491" s="49">
        <v>1</v>
      </c>
      <c r="U491" s="50">
        <v>0</v>
      </c>
      <c r="V491" s="50">
        <v>0.220416</v>
      </c>
      <c r="W491" s="51"/>
      <c r="X491" s="51"/>
      <c r="Y491" s="51"/>
      <c r="Z491" s="50"/>
      <c r="AA491" s="73">
        <v>491</v>
      </c>
      <c r="AB491" s="73"/>
      <c r="AC491" s="74"/>
      <c r="AD491" s="81" t="s">
        <v>2914</v>
      </c>
      <c r="AE491" s="81"/>
      <c r="AF491" s="81"/>
      <c r="AG491" s="81"/>
      <c r="AH491" s="81"/>
      <c r="AI491" s="81" t="s">
        <v>2148</v>
      </c>
      <c r="AJ491" s="88">
        <v>41120.00767361111</v>
      </c>
      <c r="AK491" s="86" t="str">
        <f>HYPERLINK("https://yt3.ggpht.com/ytc/AIf8zZQmtIIFsaBMMdUPx6394e9HbfsDAfGa8nXvNsTm=s88-c-k-c0x00ffffff-no-rj")</f>
        <v>https://yt3.ggpht.com/ytc/AIf8zZQmtIIFsaBMMdUPx6394e9HbfsDAfGa8nXvNsTm=s88-c-k-c0x00ffffff-no-rj</v>
      </c>
      <c r="AL491" s="81">
        <v>13</v>
      </c>
      <c r="AM491" s="81">
        <v>0</v>
      </c>
      <c r="AN491" s="81">
        <v>1</v>
      </c>
      <c r="AO491" s="81" t="b">
        <v>0</v>
      </c>
      <c r="AP491" s="81">
        <v>1</v>
      </c>
      <c r="AQ491" s="81"/>
      <c r="AR491" s="81"/>
      <c r="AS491" s="81" t="s">
        <v>3378</v>
      </c>
      <c r="AT491" s="86" t="str">
        <f>HYPERLINK("https://www.youtube.com/channel/UC1qlEOupoRrYWn63A1UB6pA")</f>
        <v>https://www.youtube.com/channel/UC1qlEOupoRrYWn63A1UB6pA</v>
      </c>
      <c r="AU491" s="81" t="str">
        <f>REPLACE(INDEX(GroupVertices[Group],MATCH("~"&amp;Vertices[[#This Row],[Vertex]],GroupVertices[Vertex],0)),1,1,"")</f>
        <v>2</v>
      </c>
      <c r="AV491" s="49"/>
      <c r="AW491" s="49"/>
      <c r="AX491" s="49"/>
      <c r="AY491" s="49"/>
      <c r="AZ491" s="49"/>
      <c r="BA491" s="49"/>
      <c r="BB491" s="117" t="s">
        <v>4152</v>
      </c>
      <c r="BC491" s="117" t="s">
        <v>4152</v>
      </c>
      <c r="BD491" s="117" t="s">
        <v>4839</v>
      </c>
      <c r="BE491" s="117" t="s">
        <v>4839</v>
      </c>
      <c r="BF491" s="2"/>
      <c r="BG491" s="3"/>
      <c r="BH491" s="3"/>
      <c r="BI491" s="3"/>
      <c r="BJ491" s="3"/>
    </row>
    <row r="492" spans="1:62" ht="15">
      <c r="A492" s="66" t="s">
        <v>684</v>
      </c>
      <c r="B492" s="67"/>
      <c r="C492" s="67"/>
      <c r="D492" s="68">
        <v>50</v>
      </c>
      <c r="E492" s="70"/>
      <c r="F492" s="105" t="str">
        <f>HYPERLINK("https://yt3.ggpht.com/OrTNWCMCYreZo9QY-XJdS_82qE_vFhohG1WIsSJuQ7cjXrynaFQDD2JATmzilrP2GzvMZkSeIw=s88-c-k-c0x00ffffff-no-rj")</f>
        <v>https://yt3.ggpht.com/OrTNWCMCYreZo9QY-XJdS_82qE_vFhohG1WIsSJuQ7cjXrynaFQDD2JATmzilrP2GzvMZkSeIw=s88-c-k-c0x00ffffff-no-rj</v>
      </c>
      <c r="G492" s="67"/>
      <c r="H492" s="71" t="s">
        <v>2916</v>
      </c>
      <c r="I492" s="72"/>
      <c r="J492" s="72" t="s">
        <v>159</v>
      </c>
      <c r="K492" s="71" t="s">
        <v>2916</v>
      </c>
      <c r="L492" s="75">
        <v>1</v>
      </c>
      <c r="M492" s="76">
        <v>458.5339660644531</v>
      </c>
      <c r="N492" s="76">
        <v>1273.703369140625</v>
      </c>
      <c r="O492" s="77"/>
      <c r="P492" s="78"/>
      <c r="Q492" s="78"/>
      <c r="R492" s="90"/>
      <c r="S492" s="49">
        <v>0</v>
      </c>
      <c r="T492" s="49">
        <v>1</v>
      </c>
      <c r="U492" s="50">
        <v>0</v>
      </c>
      <c r="V492" s="50">
        <v>0.220416</v>
      </c>
      <c r="W492" s="51"/>
      <c r="X492" s="51"/>
      <c r="Y492" s="51"/>
      <c r="Z492" s="50"/>
      <c r="AA492" s="73">
        <v>492</v>
      </c>
      <c r="AB492" s="73"/>
      <c r="AC492" s="74"/>
      <c r="AD492" s="81" t="s">
        <v>2916</v>
      </c>
      <c r="AE492" s="81" t="s">
        <v>3192</v>
      </c>
      <c r="AF492" s="81"/>
      <c r="AG492" s="81"/>
      <c r="AH492" s="81"/>
      <c r="AI492" s="81" t="s">
        <v>2150</v>
      </c>
      <c r="AJ492" s="88">
        <v>43712.501909722225</v>
      </c>
      <c r="AK492" s="86" t="str">
        <f>HYPERLINK("https://yt3.ggpht.com/OrTNWCMCYreZo9QY-XJdS_82qE_vFhohG1WIsSJuQ7cjXrynaFQDD2JATmzilrP2GzvMZkSeIw=s88-c-k-c0x00ffffff-no-rj")</f>
        <v>https://yt3.ggpht.com/OrTNWCMCYreZo9QY-XJdS_82qE_vFhohG1WIsSJuQ7cjXrynaFQDD2JATmzilrP2GzvMZkSeIw=s88-c-k-c0x00ffffff-no-rj</v>
      </c>
      <c r="AL492" s="81">
        <v>116572</v>
      </c>
      <c r="AM492" s="81">
        <v>0</v>
      </c>
      <c r="AN492" s="81">
        <v>452</v>
      </c>
      <c r="AO492" s="81" t="b">
        <v>0</v>
      </c>
      <c r="AP492" s="81">
        <v>130</v>
      </c>
      <c r="AQ492" s="81"/>
      <c r="AR492" s="81"/>
      <c r="AS492" s="81" t="s">
        <v>3378</v>
      </c>
      <c r="AT492" s="86" t="str">
        <f>HYPERLINK("https://www.youtube.com/channel/UCsTCjOvj8dSiNCmuJXRujXQ")</f>
        <v>https://www.youtube.com/channel/UCsTCjOvj8dSiNCmuJXRujXQ</v>
      </c>
      <c r="AU492" s="81" t="str">
        <f>REPLACE(INDEX(GroupVertices[Group],MATCH("~"&amp;Vertices[[#This Row],[Vertex]],GroupVertices[Vertex],0)),1,1,"")</f>
        <v>2</v>
      </c>
      <c r="AV492" s="49"/>
      <c r="AW492" s="49"/>
      <c r="AX492" s="49"/>
      <c r="AY492" s="49"/>
      <c r="AZ492" s="49"/>
      <c r="BA492" s="49"/>
      <c r="BB492" s="117" t="s">
        <v>4154</v>
      </c>
      <c r="BC492" s="117" t="s">
        <v>4154</v>
      </c>
      <c r="BD492" s="117" t="s">
        <v>4841</v>
      </c>
      <c r="BE492" s="117" t="s">
        <v>4841</v>
      </c>
      <c r="BF492" s="2"/>
      <c r="BG492" s="3"/>
      <c r="BH492" s="3"/>
      <c r="BI492" s="3"/>
      <c r="BJ492" s="3"/>
    </row>
    <row r="493" spans="1:62" ht="15">
      <c r="A493" s="66" t="s">
        <v>685</v>
      </c>
      <c r="B493" s="67"/>
      <c r="C493" s="67"/>
      <c r="D493" s="68">
        <v>50</v>
      </c>
      <c r="E493" s="70"/>
      <c r="F493" s="105" t="str">
        <f>HYPERLINK("https://yt3.ggpht.com/ytc/AIf8zZR-8fkTY1ALyOk8Vbk1SFtQ2Fr0Tjn3foiMV7659g=s88-c-k-c0x00ffffff-no-rj")</f>
        <v>https://yt3.ggpht.com/ytc/AIf8zZR-8fkTY1ALyOk8Vbk1SFtQ2Fr0Tjn3foiMV7659g=s88-c-k-c0x00ffffff-no-rj</v>
      </c>
      <c r="G493" s="67"/>
      <c r="H493" s="71" t="s">
        <v>2917</v>
      </c>
      <c r="I493" s="72"/>
      <c r="J493" s="72" t="s">
        <v>159</v>
      </c>
      <c r="K493" s="71" t="s">
        <v>2917</v>
      </c>
      <c r="L493" s="75">
        <v>1</v>
      </c>
      <c r="M493" s="76">
        <v>2734.49169921875</v>
      </c>
      <c r="N493" s="76">
        <v>1087.0958251953125</v>
      </c>
      <c r="O493" s="77"/>
      <c r="P493" s="78"/>
      <c r="Q493" s="78"/>
      <c r="R493" s="90"/>
      <c r="S493" s="49">
        <v>0</v>
      </c>
      <c r="T493" s="49">
        <v>1</v>
      </c>
      <c r="U493" s="50">
        <v>0</v>
      </c>
      <c r="V493" s="50">
        <v>0.220416</v>
      </c>
      <c r="W493" s="51"/>
      <c r="X493" s="51"/>
      <c r="Y493" s="51"/>
      <c r="Z493" s="50"/>
      <c r="AA493" s="73">
        <v>493</v>
      </c>
      <c r="AB493" s="73"/>
      <c r="AC493" s="74"/>
      <c r="AD493" s="81" t="s">
        <v>2917</v>
      </c>
      <c r="AE493" s="81"/>
      <c r="AF493" s="81"/>
      <c r="AG493" s="81"/>
      <c r="AH493" s="81"/>
      <c r="AI493" s="81" t="s">
        <v>3332</v>
      </c>
      <c r="AJ493" s="88">
        <v>39003.1640625</v>
      </c>
      <c r="AK493" s="86" t="str">
        <f>HYPERLINK("https://yt3.ggpht.com/ytc/AIf8zZR-8fkTY1ALyOk8Vbk1SFtQ2Fr0Tjn3foiMV7659g=s88-c-k-c0x00ffffff-no-rj")</f>
        <v>https://yt3.ggpht.com/ytc/AIf8zZR-8fkTY1ALyOk8Vbk1SFtQ2Fr0Tjn3foiMV7659g=s88-c-k-c0x00ffffff-no-rj</v>
      </c>
      <c r="AL493" s="81">
        <v>92265</v>
      </c>
      <c r="AM493" s="81">
        <v>0</v>
      </c>
      <c r="AN493" s="81">
        <v>41</v>
      </c>
      <c r="AO493" s="81" t="b">
        <v>0</v>
      </c>
      <c r="AP493" s="81">
        <v>100</v>
      </c>
      <c r="AQ493" s="81"/>
      <c r="AR493" s="81"/>
      <c r="AS493" s="81" t="s">
        <v>3378</v>
      </c>
      <c r="AT493" s="86" t="str">
        <f>HYPERLINK("https://www.youtube.com/channel/UC4WDYVahew1v9IqswX8EZyw")</f>
        <v>https://www.youtube.com/channel/UC4WDYVahew1v9IqswX8EZyw</v>
      </c>
      <c r="AU493" s="81" t="str">
        <f>REPLACE(INDEX(GroupVertices[Group],MATCH("~"&amp;Vertices[[#This Row],[Vertex]],GroupVertices[Vertex],0)),1,1,"")</f>
        <v>2</v>
      </c>
      <c r="AV493" s="49"/>
      <c r="AW493" s="49"/>
      <c r="AX493" s="49"/>
      <c r="AY493" s="49"/>
      <c r="AZ493" s="49"/>
      <c r="BA493" s="49"/>
      <c r="BB493" s="117" t="s">
        <v>4155</v>
      </c>
      <c r="BC493" s="117" t="s">
        <v>4155</v>
      </c>
      <c r="BD493" s="117" t="s">
        <v>4842</v>
      </c>
      <c r="BE493" s="117" t="s">
        <v>4842</v>
      </c>
      <c r="BF493" s="2"/>
      <c r="BG493" s="3"/>
      <c r="BH493" s="3"/>
      <c r="BI493" s="3"/>
      <c r="BJ493" s="3"/>
    </row>
    <row r="494" spans="1:62" ht="15">
      <c r="A494" s="66" t="s">
        <v>686</v>
      </c>
      <c r="B494" s="67"/>
      <c r="C494" s="67"/>
      <c r="D494" s="68">
        <v>50</v>
      </c>
      <c r="E494" s="70"/>
      <c r="F494" s="105" t="str">
        <f>HYPERLINK("https://yt3.ggpht.com/ytc/AIf8zZQRSKtG86pnX6l5Nh12b8L6C5gKrfQIUWqkyS-bbg=s88-c-k-c0x00ffffff-no-rj")</f>
        <v>https://yt3.ggpht.com/ytc/AIf8zZQRSKtG86pnX6l5Nh12b8L6C5gKrfQIUWqkyS-bbg=s88-c-k-c0x00ffffff-no-rj</v>
      </c>
      <c r="G494" s="67"/>
      <c r="H494" s="71" t="s">
        <v>2918</v>
      </c>
      <c r="I494" s="72"/>
      <c r="J494" s="72" t="s">
        <v>159</v>
      </c>
      <c r="K494" s="71" t="s">
        <v>2918</v>
      </c>
      <c r="L494" s="75">
        <v>1</v>
      </c>
      <c r="M494" s="76">
        <v>798.546875</v>
      </c>
      <c r="N494" s="76">
        <v>3220.904541015625</v>
      </c>
      <c r="O494" s="77"/>
      <c r="P494" s="78"/>
      <c r="Q494" s="78"/>
      <c r="R494" s="90"/>
      <c r="S494" s="49">
        <v>0</v>
      </c>
      <c r="T494" s="49">
        <v>1</v>
      </c>
      <c r="U494" s="50">
        <v>0</v>
      </c>
      <c r="V494" s="50">
        <v>0.220416</v>
      </c>
      <c r="W494" s="51"/>
      <c r="X494" s="51"/>
      <c r="Y494" s="51"/>
      <c r="Z494" s="50"/>
      <c r="AA494" s="73">
        <v>494</v>
      </c>
      <c r="AB494" s="73"/>
      <c r="AC494" s="74"/>
      <c r="AD494" s="81" t="s">
        <v>2918</v>
      </c>
      <c r="AE494" s="81"/>
      <c r="AF494" s="81"/>
      <c r="AG494" s="81"/>
      <c r="AH494" s="81"/>
      <c r="AI494" s="81" t="s">
        <v>2152</v>
      </c>
      <c r="AJ494" s="88">
        <v>42416.825</v>
      </c>
      <c r="AK494" s="86" t="str">
        <f>HYPERLINK("https://yt3.ggpht.com/ytc/AIf8zZQRSKtG86pnX6l5Nh12b8L6C5gKrfQIUWqkyS-bbg=s88-c-k-c0x00ffffff-no-rj")</f>
        <v>https://yt3.ggpht.com/ytc/AIf8zZQRSKtG86pnX6l5Nh12b8L6C5gKrfQIUWqkyS-bbg=s88-c-k-c0x00ffffff-no-rj</v>
      </c>
      <c r="AL494" s="81">
        <v>0</v>
      </c>
      <c r="AM494" s="81">
        <v>0</v>
      </c>
      <c r="AN494" s="81">
        <v>0</v>
      </c>
      <c r="AO494" s="81" t="b">
        <v>0</v>
      </c>
      <c r="AP494" s="81">
        <v>0</v>
      </c>
      <c r="AQ494" s="81"/>
      <c r="AR494" s="81"/>
      <c r="AS494" s="81" t="s">
        <v>3378</v>
      </c>
      <c r="AT494" s="86" t="str">
        <f>HYPERLINK("https://www.youtube.com/channel/UCToP4JFX-JgXLm-KocsE2cw")</f>
        <v>https://www.youtube.com/channel/UCToP4JFX-JgXLm-KocsE2cw</v>
      </c>
      <c r="AU494" s="81" t="str">
        <f>REPLACE(INDEX(GroupVertices[Group],MATCH("~"&amp;Vertices[[#This Row],[Vertex]],GroupVertices[Vertex],0)),1,1,"")</f>
        <v>2</v>
      </c>
      <c r="AV494" s="49"/>
      <c r="AW494" s="49"/>
      <c r="AX494" s="49"/>
      <c r="AY494" s="49"/>
      <c r="AZ494" s="49"/>
      <c r="BA494" s="49"/>
      <c r="BB494" s="117" t="s">
        <v>4156</v>
      </c>
      <c r="BC494" s="117" t="s">
        <v>4156</v>
      </c>
      <c r="BD494" s="117" t="s">
        <v>4843</v>
      </c>
      <c r="BE494" s="117" t="s">
        <v>4843</v>
      </c>
      <c r="BF494" s="2"/>
      <c r="BG494" s="3"/>
      <c r="BH494" s="3"/>
      <c r="BI494" s="3"/>
      <c r="BJ494" s="3"/>
    </row>
    <row r="495" spans="1:62" ht="15">
      <c r="A495" s="66" t="s">
        <v>687</v>
      </c>
      <c r="B495" s="67"/>
      <c r="C495" s="67"/>
      <c r="D495" s="68">
        <v>50</v>
      </c>
      <c r="E495" s="70"/>
      <c r="F495" s="105" t="str">
        <f>HYPERLINK("https://yt3.ggpht.com/ytc/AIf8zZRHMhA7VBdHIaSqY3V3H6-WSUc7WIUCaSQE4UOGC5IxGOWDkwfq7dw5KhpDxgnu=s88-c-k-c0x00ffffff-no-rj")</f>
        <v>https://yt3.ggpht.com/ytc/AIf8zZRHMhA7VBdHIaSqY3V3H6-WSUc7WIUCaSQE4UOGC5IxGOWDkwfq7dw5KhpDxgnu=s88-c-k-c0x00ffffff-no-rj</v>
      </c>
      <c r="G495" s="67"/>
      <c r="H495" s="71" t="s">
        <v>2919</v>
      </c>
      <c r="I495" s="72"/>
      <c r="J495" s="72" t="s">
        <v>159</v>
      </c>
      <c r="K495" s="71" t="s">
        <v>2919</v>
      </c>
      <c r="L495" s="75">
        <v>1</v>
      </c>
      <c r="M495" s="76">
        <v>1886.41162109375</v>
      </c>
      <c r="N495" s="76">
        <v>3293.51318359375</v>
      </c>
      <c r="O495" s="77"/>
      <c r="P495" s="78"/>
      <c r="Q495" s="78"/>
      <c r="R495" s="90"/>
      <c r="S495" s="49">
        <v>0</v>
      </c>
      <c r="T495" s="49">
        <v>1</v>
      </c>
      <c r="U495" s="50">
        <v>0</v>
      </c>
      <c r="V495" s="50">
        <v>0.220416</v>
      </c>
      <c r="W495" s="51"/>
      <c r="X495" s="51"/>
      <c r="Y495" s="51"/>
      <c r="Z495" s="50"/>
      <c r="AA495" s="73">
        <v>495</v>
      </c>
      <c r="AB495" s="73"/>
      <c r="AC495" s="74"/>
      <c r="AD495" s="81" t="s">
        <v>2919</v>
      </c>
      <c r="AE495" s="81"/>
      <c r="AF495" s="81"/>
      <c r="AG495" s="81"/>
      <c r="AH495" s="81"/>
      <c r="AI495" s="81" t="s">
        <v>2153</v>
      </c>
      <c r="AJ495" s="88">
        <v>44389.17796296296</v>
      </c>
      <c r="AK495" s="86" t="str">
        <f>HYPERLINK("https://yt3.ggpht.com/ytc/AIf8zZRHMhA7VBdHIaSqY3V3H6-WSUc7WIUCaSQE4UOGC5IxGOWDkwfq7dw5KhpDxgnu=s88-c-k-c0x00ffffff-no-rj")</f>
        <v>https://yt3.ggpht.com/ytc/AIf8zZRHMhA7VBdHIaSqY3V3H6-WSUc7WIUCaSQE4UOGC5IxGOWDkwfq7dw5KhpDxgnu=s88-c-k-c0x00ffffff-no-rj</v>
      </c>
      <c r="AL495" s="81">
        <v>0</v>
      </c>
      <c r="AM495" s="81">
        <v>0</v>
      </c>
      <c r="AN495" s="81">
        <v>4</v>
      </c>
      <c r="AO495" s="81" t="b">
        <v>0</v>
      </c>
      <c r="AP495" s="81">
        <v>0</v>
      </c>
      <c r="AQ495" s="81"/>
      <c r="AR495" s="81"/>
      <c r="AS495" s="81" t="s">
        <v>3378</v>
      </c>
      <c r="AT495" s="86" t="str">
        <f>HYPERLINK("https://www.youtube.com/channel/UCOwisMMQzJkKYdqBNbRPCfQ")</f>
        <v>https://www.youtube.com/channel/UCOwisMMQzJkKYdqBNbRPCfQ</v>
      </c>
      <c r="AU495" s="81" t="str">
        <f>REPLACE(INDEX(GroupVertices[Group],MATCH("~"&amp;Vertices[[#This Row],[Vertex]],GroupVertices[Vertex],0)),1,1,"")</f>
        <v>2</v>
      </c>
      <c r="AV495" s="49"/>
      <c r="AW495" s="49"/>
      <c r="AX495" s="49"/>
      <c r="AY495" s="49"/>
      <c r="AZ495" s="49"/>
      <c r="BA495" s="49"/>
      <c r="BB495" s="117" t="s">
        <v>4157</v>
      </c>
      <c r="BC495" s="117" t="s">
        <v>4157</v>
      </c>
      <c r="BD495" s="117" t="s">
        <v>4844</v>
      </c>
      <c r="BE495" s="117" t="s">
        <v>4844</v>
      </c>
      <c r="BF495" s="2"/>
      <c r="BG495" s="3"/>
      <c r="BH495" s="3"/>
      <c r="BI495" s="3"/>
      <c r="BJ495" s="3"/>
    </row>
    <row r="496" spans="1:62" ht="15">
      <c r="A496" s="66" t="s">
        <v>688</v>
      </c>
      <c r="B496" s="67"/>
      <c r="C496" s="67"/>
      <c r="D496" s="68">
        <v>50</v>
      </c>
      <c r="E496" s="70"/>
      <c r="F496" s="105" t="str">
        <f>HYPERLINK("https://yt3.ggpht.com/ytc/AIf8zZRz_k1rtYKC0lzm1NZRyQSv_W1zIqiV3BK7hHHoCQ=s88-c-k-c0x00ffffff-no-rj")</f>
        <v>https://yt3.ggpht.com/ytc/AIf8zZRz_k1rtYKC0lzm1NZRyQSv_W1zIqiV3BK7hHHoCQ=s88-c-k-c0x00ffffff-no-rj</v>
      </c>
      <c r="G496" s="67"/>
      <c r="H496" s="71" t="s">
        <v>2920</v>
      </c>
      <c r="I496" s="72"/>
      <c r="J496" s="72" t="s">
        <v>159</v>
      </c>
      <c r="K496" s="71" t="s">
        <v>2920</v>
      </c>
      <c r="L496" s="75">
        <v>1</v>
      </c>
      <c r="M496" s="76">
        <v>947.004638671875</v>
      </c>
      <c r="N496" s="76">
        <v>2528.127685546875</v>
      </c>
      <c r="O496" s="77"/>
      <c r="P496" s="78"/>
      <c r="Q496" s="78"/>
      <c r="R496" s="90"/>
      <c r="S496" s="49">
        <v>0</v>
      </c>
      <c r="T496" s="49">
        <v>1</v>
      </c>
      <c r="U496" s="50">
        <v>0</v>
      </c>
      <c r="V496" s="50">
        <v>0.220416</v>
      </c>
      <c r="W496" s="51"/>
      <c r="X496" s="51"/>
      <c r="Y496" s="51"/>
      <c r="Z496" s="50"/>
      <c r="AA496" s="73">
        <v>496</v>
      </c>
      <c r="AB496" s="73"/>
      <c r="AC496" s="74"/>
      <c r="AD496" s="81" t="s">
        <v>2920</v>
      </c>
      <c r="AE496" s="81"/>
      <c r="AF496" s="81"/>
      <c r="AG496" s="81"/>
      <c r="AH496" s="81"/>
      <c r="AI496" s="81" t="s">
        <v>2154</v>
      </c>
      <c r="AJ496" s="88">
        <v>42563.941608796296</v>
      </c>
      <c r="AK496" s="86" t="str">
        <f>HYPERLINK("https://yt3.ggpht.com/ytc/AIf8zZRz_k1rtYKC0lzm1NZRyQSv_W1zIqiV3BK7hHHoCQ=s88-c-k-c0x00ffffff-no-rj")</f>
        <v>https://yt3.ggpht.com/ytc/AIf8zZRz_k1rtYKC0lzm1NZRyQSv_W1zIqiV3BK7hHHoCQ=s88-c-k-c0x00ffffff-no-rj</v>
      </c>
      <c r="AL496" s="81">
        <v>0</v>
      </c>
      <c r="AM496" s="81">
        <v>0</v>
      </c>
      <c r="AN496" s="81">
        <v>0</v>
      </c>
      <c r="AO496" s="81" t="b">
        <v>0</v>
      </c>
      <c r="AP496" s="81">
        <v>0</v>
      </c>
      <c r="AQ496" s="81"/>
      <c r="AR496" s="81"/>
      <c r="AS496" s="81" t="s">
        <v>3378</v>
      </c>
      <c r="AT496" s="86" t="str">
        <f>HYPERLINK("https://www.youtube.com/channel/UC_fw_5lTNM7HrjboRrJk9EA")</f>
        <v>https://www.youtube.com/channel/UC_fw_5lTNM7HrjboRrJk9EA</v>
      </c>
      <c r="AU496" s="81" t="str">
        <f>REPLACE(INDEX(GroupVertices[Group],MATCH("~"&amp;Vertices[[#This Row],[Vertex]],GroupVertices[Vertex],0)),1,1,"")</f>
        <v>2</v>
      </c>
      <c r="AV496" s="49"/>
      <c r="AW496" s="49"/>
      <c r="AX496" s="49"/>
      <c r="AY496" s="49"/>
      <c r="AZ496" s="49"/>
      <c r="BA496" s="49"/>
      <c r="BB496" s="117" t="s">
        <v>4158</v>
      </c>
      <c r="BC496" s="117" t="s">
        <v>4158</v>
      </c>
      <c r="BD496" s="117" t="s">
        <v>4845</v>
      </c>
      <c r="BE496" s="117" t="s">
        <v>4845</v>
      </c>
      <c r="BF496" s="2"/>
      <c r="BG496" s="3"/>
      <c r="BH496" s="3"/>
      <c r="BI496" s="3"/>
      <c r="BJ496" s="3"/>
    </row>
    <row r="497" spans="1:62" ht="15">
      <c r="A497" s="66" t="s">
        <v>689</v>
      </c>
      <c r="B497" s="67"/>
      <c r="C497" s="67"/>
      <c r="D497" s="68">
        <v>50</v>
      </c>
      <c r="E497" s="70"/>
      <c r="F497" s="105" t="str">
        <f>HYPERLINK("https://yt3.ggpht.com/ytc/AIf8zZTG4LzOKO_SVweJQOPS0UwUSiky8jKHLe4s8A=s88-c-k-c0x00ffffff-no-rj")</f>
        <v>https://yt3.ggpht.com/ytc/AIf8zZTG4LzOKO_SVweJQOPS0UwUSiky8jKHLe4s8A=s88-c-k-c0x00ffffff-no-rj</v>
      </c>
      <c r="G497" s="67"/>
      <c r="H497" s="71" t="s">
        <v>2921</v>
      </c>
      <c r="I497" s="72"/>
      <c r="J497" s="72" t="s">
        <v>159</v>
      </c>
      <c r="K497" s="71" t="s">
        <v>2921</v>
      </c>
      <c r="L497" s="75">
        <v>1</v>
      </c>
      <c r="M497" s="76">
        <v>1141.09716796875</v>
      </c>
      <c r="N497" s="76">
        <v>1042.0394287109375</v>
      </c>
      <c r="O497" s="77"/>
      <c r="P497" s="78"/>
      <c r="Q497" s="78"/>
      <c r="R497" s="90"/>
      <c r="S497" s="49">
        <v>0</v>
      </c>
      <c r="T497" s="49">
        <v>1</v>
      </c>
      <c r="U497" s="50">
        <v>0</v>
      </c>
      <c r="V497" s="50">
        <v>0.220416</v>
      </c>
      <c r="W497" s="51"/>
      <c r="X497" s="51"/>
      <c r="Y497" s="51"/>
      <c r="Z497" s="50"/>
      <c r="AA497" s="73">
        <v>497</v>
      </c>
      <c r="AB497" s="73"/>
      <c r="AC497" s="74"/>
      <c r="AD497" s="81" t="s">
        <v>2921</v>
      </c>
      <c r="AE497" s="81"/>
      <c r="AF497" s="81"/>
      <c r="AG497" s="81"/>
      <c r="AH497" s="81"/>
      <c r="AI497" s="81" t="s">
        <v>3333</v>
      </c>
      <c r="AJ497" s="88">
        <v>38871.14349537037</v>
      </c>
      <c r="AK497" s="86" t="str">
        <f>HYPERLINK("https://yt3.ggpht.com/ytc/AIf8zZTG4LzOKO_SVweJQOPS0UwUSiky8jKHLe4s8A=s88-c-k-c0x00ffffff-no-rj")</f>
        <v>https://yt3.ggpht.com/ytc/AIf8zZTG4LzOKO_SVweJQOPS0UwUSiky8jKHLe4s8A=s88-c-k-c0x00ffffff-no-rj</v>
      </c>
      <c r="AL497" s="81">
        <v>0</v>
      </c>
      <c r="AM497" s="81">
        <v>0</v>
      </c>
      <c r="AN497" s="81">
        <v>10</v>
      </c>
      <c r="AO497" s="81" t="b">
        <v>0</v>
      </c>
      <c r="AP497" s="81">
        <v>0</v>
      </c>
      <c r="AQ497" s="81"/>
      <c r="AR497" s="81"/>
      <c r="AS497" s="81" t="s">
        <v>3378</v>
      </c>
      <c r="AT497" s="86" t="str">
        <f>HYPERLINK("https://www.youtube.com/channel/UCzG6hJNmUwX5zj8iC38UHzA")</f>
        <v>https://www.youtube.com/channel/UCzG6hJNmUwX5zj8iC38UHzA</v>
      </c>
      <c r="AU497" s="81" t="str">
        <f>REPLACE(INDEX(GroupVertices[Group],MATCH("~"&amp;Vertices[[#This Row],[Vertex]],GroupVertices[Vertex],0)),1,1,"")</f>
        <v>2</v>
      </c>
      <c r="AV497" s="49"/>
      <c r="AW497" s="49"/>
      <c r="AX497" s="49"/>
      <c r="AY497" s="49"/>
      <c r="AZ497" s="49"/>
      <c r="BA497" s="49"/>
      <c r="BB497" s="117" t="s">
        <v>4159</v>
      </c>
      <c r="BC497" s="117" t="s">
        <v>4159</v>
      </c>
      <c r="BD497" s="117" t="s">
        <v>4846</v>
      </c>
      <c r="BE497" s="117" t="s">
        <v>4846</v>
      </c>
      <c r="BF497" s="2"/>
      <c r="BG497" s="3"/>
      <c r="BH497" s="3"/>
      <c r="BI497" s="3"/>
      <c r="BJ497" s="3"/>
    </row>
    <row r="498" spans="1:62" ht="15">
      <c r="A498" s="66" t="s">
        <v>690</v>
      </c>
      <c r="B498" s="67"/>
      <c r="C498" s="67"/>
      <c r="D498" s="68">
        <v>50</v>
      </c>
      <c r="E498" s="70"/>
      <c r="F498" s="105" t="str">
        <f>HYPERLINK("https://yt3.ggpht.com/ytc/AIf8zZR0DI45P62ad-zI0BjtILY7_6_9KVhxKyxReA=s88-c-k-c0x00ffffff-no-rj")</f>
        <v>https://yt3.ggpht.com/ytc/AIf8zZR0DI45P62ad-zI0BjtILY7_6_9KVhxKyxReA=s88-c-k-c0x00ffffff-no-rj</v>
      </c>
      <c r="G498" s="67"/>
      <c r="H498" s="71" t="s">
        <v>2922</v>
      </c>
      <c r="I498" s="72"/>
      <c r="J498" s="72" t="s">
        <v>159</v>
      </c>
      <c r="K498" s="71" t="s">
        <v>2922</v>
      </c>
      <c r="L498" s="75">
        <v>1</v>
      </c>
      <c r="M498" s="76">
        <v>1060.3126220703125</v>
      </c>
      <c r="N498" s="76">
        <v>690.3558349609375</v>
      </c>
      <c r="O498" s="77"/>
      <c r="P498" s="78"/>
      <c r="Q498" s="78"/>
      <c r="R498" s="90"/>
      <c r="S498" s="49">
        <v>0</v>
      </c>
      <c r="T498" s="49">
        <v>1</v>
      </c>
      <c r="U498" s="50">
        <v>0</v>
      </c>
      <c r="V498" s="50">
        <v>0.220416</v>
      </c>
      <c r="W498" s="51"/>
      <c r="X498" s="51"/>
      <c r="Y498" s="51"/>
      <c r="Z498" s="50"/>
      <c r="AA498" s="73">
        <v>498</v>
      </c>
      <c r="AB498" s="73"/>
      <c r="AC498" s="74"/>
      <c r="AD498" s="81" t="s">
        <v>2922</v>
      </c>
      <c r="AE498" s="81"/>
      <c r="AF498" s="81"/>
      <c r="AG498" s="81"/>
      <c r="AH498" s="81"/>
      <c r="AI498" s="81" t="s">
        <v>3334</v>
      </c>
      <c r="AJ498" s="88">
        <v>39960.35900462963</v>
      </c>
      <c r="AK498" s="86" t="str">
        <f>HYPERLINK("https://yt3.ggpht.com/ytc/AIf8zZR0DI45P62ad-zI0BjtILY7_6_9KVhxKyxReA=s88-c-k-c0x00ffffff-no-rj")</f>
        <v>https://yt3.ggpht.com/ytc/AIf8zZR0DI45P62ad-zI0BjtILY7_6_9KVhxKyxReA=s88-c-k-c0x00ffffff-no-rj</v>
      </c>
      <c r="AL498" s="81">
        <v>0</v>
      </c>
      <c r="AM498" s="81">
        <v>0</v>
      </c>
      <c r="AN498" s="81">
        <v>451</v>
      </c>
      <c r="AO498" s="81" t="b">
        <v>0</v>
      </c>
      <c r="AP498" s="81">
        <v>0</v>
      </c>
      <c r="AQ498" s="81"/>
      <c r="AR498" s="81"/>
      <c r="AS498" s="81" t="s">
        <v>3378</v>
      </c>
      <c r="AT498" s="86" t="str">
        <f>HYPERLINK("https://www.youtube.com/channel/UCPyIRPhqIJ1a8zG6fKBgAKQ")</f>
        <v>https://www.youtube.com/channel/UCPyIRPhqIJ1a8zG6fKBgAKQ</v>
      </c>
      <c r="AU498" s="81" t="str">
        <f>REPLACE(INDEX(GroupVertices[Group],MATCH("~"&amp;Vertices[[#This Row],[Vertex]],GroupVertices[Vertex],0)),1,1,"")</f>
        <v>2</v>
      </c>
      <c r="AV498" s="49"/>
      <c r="AW498" s="49"/>
      <c r="AX498" s="49"/>
      <c r="AY498" s="49"/>
      <c r="AZ498" s="49"/>
      <c r="BA498" s="49"/>
      <c r="BB498" s="117" t="s">
        <v>4160</v>
      </c>
      <c r="BC498" s="117" t="s">
        <v>4160</v>
      </c>
      <c r="BD498" s="117" t="s">
        <v>4847</v>
      </c>
      <c r="BE498" s="117" t="s">
        <v>4847</v>
      </c>
      <c r="BF498" s="2"/>
      <c r="BG498" s="3"/>
      <c r="BH498" s="3"/>
      <c r="BI498" s="3"/>
      <c r="BJ498" s="3"/>
    </row>
    <row r="499" spans="1:62" ht="15">
      <c r="A499" s="66" t="s">
        <v>691</v>
      </c>
      <c r="B499" s="67"/>
      <c r="C499" s="67"/>
      <c r="D499" s="68">
        <v>50</v>
      </c>
      <c r="E499" s="70"/>
      <c r="F499" s="105" t="str">
        <f>HYPERLINK("https://yt3.ggpht.com/ytc/AIf8zZT5V8g4g-5RVQepY4YO6Ik_xi316qxoC94jbw=s88-c-k-c0x00ffffff-no-rj")</f>
        <v>https://yt3.ggpht.com/ytc/AIf8zZT5V8g4g-5RVQepY4YO6Ik_xi316qxoC94jbw=s88-c-k-c0x00ffffff-no-rj</v>
      </c>
      <c r="G499" s="67"/>
      <c r="H499" s="71" t="s">
        <v>2923</v>
      </c>
      <c r="I499" s="72"/>
      <c r="J499" s="72" t="s">
        <v>159</v>
      </c>
      <c r="K499" s="71" t="s">
        <v>2923</v>
      </c>
      <c r="L499" s="75">
        <v>1</v>
      </c>
      <c r="M499" s="76">
        <v>657.3897705078125</v>
      </c>
      <c r="N499" s="76">
        <v>662.7941284179688</v>
      </c>
      <c r="O499" s="77"/>
      <c r="P499" s="78"/>
      <c r="Q499" s="78"/>
      <c r="R499" s="90"/>
      <c r="S499" s="49">
        <v>0</v>
      </c>
      <c r="T499" s="49">
        <v>1</v>
      </c>
      <c r="U499" s="50">
        <v>0</v>
      </c>
      <c r="V499" s="50">
        <v>0.220416</v>
      </c>
      <c r="W499" s="51"/>
      <c r="X499" s="51"/>
      <c r="Y499" s="51"/>
      <c r="Z499" s="50"/>
      <c r="AA499" s="73">
        <v>499</v>
      </c>
      <c r="AB499" s="73"/>
      <c r="AC499" s="74"/>
      <c r="AD499" s="81" t="s">
        <v>2923</v>
      </c>
      <c r="AE499" s="81"/>
      <c r="AF499" s="81"/>
      <c r="AG499" s="81"/>
      <c r="AH499" s="81"/>
      <c r="AI499" s="81" t="s">
        <v>3335</v>
      </c>
      <c r="AJ499" s="88">
        <v>39534.03710648148</v>
      </c>
      <c r="AK499" s="86" t="str">
        <f>HYPERLINK("https://yt3.ggpht.com/ytc/AIf8zZT5V8g4g-5RVQepY4YO6Ik_xi316qxoC94jbw=s88-c-k-c0x00ffffff-no-rj")</f>
        <v>https://yt3.ggpht.com/ytc/AIf8zZT5V8g4g-5RVQepY4YO6Ik_xi316qxoC94jbw=s88-c-k-c0x00ffffff-no-rj</v>
      </c>
      <c r="AL499" s="81">
        <v>217</v>
      </c>
      <c r="AM499" s="81">
        <v>0</v>
      </c>
      <c r="AN499" s="81">
        <v>4</v>
      </c>
      <c r="AO499" s="81" t="b">
        <v>0</v>
      </c>
      <c r="AP499" s="81">
        <v>1</v>
      </c>
      <c r="AQ499" s="81"/>
      <c r="AR499" s="81"/>
      <c r="AS499" s="81" t="s">
        <v>3378</v>
      </c>
      <c r="AT499" s="86" t="str">
        <f>HYPERLINK("https://www.youtube.com/channel/UCeDJtAOSzXMofMZ00ju2SMQ")</f>
        <v>https://www.youtube.com/channel/UCeDJtAOSzXMofMZ00ju2SMQ</v>
      </c>
      <c r="AU499" s="81" t="str">
        <f>REPLACE(INDEX(GroupVertices[Group],MATCH("~"&amp;Vertices[[#This Row],[Vertex]],GroupVertices[Vertex],0)),1,1,"")</f>
        <v>2</v>
      </c>
      <c r="AV499" s="49"/>
      <c r="AW499" s="49"/>
      <c r="AX499" s="49"/>
      <c r="AY499" s="49"/>
      <c r="AZ499" s="49"/>
      <c r="BA499" s="49"/>
      <c r="BB499" s="117" t="s">
        <v>4161</v>
      </c>
      <c r="BC499" s="117" t="s">
        <v>4161</v>
      </c>
      <c r="BD499" s="117" t="s">
        <v>4848</v>
      </c>
      <c r="BE499" s="117" t="s">
        <v>4848</v>
      </c>
      <c r="BF499" s="2"/>
      <c r="BG499" s="3"/>
      <c r="BH499" s="3"/>
      <c r="BI499" s="3"/>
      <c r="BJ499" s="3"/>
    </row>
    <row r="500" spans="1:62" ht="15">
      <c r="A500" s="66" t="s">
        <v>692</v>
      </c>
      <c r="B500" s="67"/>
      <c r="C500" s="67"/>
      <c r="D500" s="68">
        <v>50</v>
      </c>
      <c r="E500" s="70"/>
      <c r="F500" s="105" t="str">
        <f>HYPERLINK("https://yt3.ggpht.com/ytc/AIf8zZTT2_u50buX4i5NCPluRlucPqtgOM7mxBV-8ZBx=s88-c-k-c0x00ffffff-no-rj")</f>
        <v>https://yt3.ggpht.com/ytc/AIf8zZTT2_u50buX4i5NCPluRlucPqtgOM7mxBV-8ZBx=s88-c-k-c0x00ffffff-no-rj</v>
      </c>
      <c r="G500" s="67"/>
      <c r="H500" s="71" t="s">
        <v>2924</v>
      </c>
      <c r="I500" s="72"/>
      <c r="J500" s="72" t="s">
        <v>159</v>
      </c>
      <c r="K500" s="71" t="s">
        <v>2924</v>
      </c>
      <c r="L500" s="75">
        <v>1</v>
      </c>
      <c r="M500" s="76">
        <v>3584.300048828125</v>
      </c>
      <c r="N500" s="76">
        <v>1178.226318359375</v>
      </c>
      <c r="O500" s="77"/>
      <c r="P500" s="78"/>
      <c r="Q500" s="78"/>
      <c r="R500" s="90"/>
      <c r="S500" s="49">
        <v>0</v>
      </c>
      <c r="T500" s="49">
        <v>1</v>
      </c>
      <c r="U500" s="50">
        <v>0</v>
      </c>
      <c r="V500" s="50">
        <v>0.220416</v>
      </c>
      <c r="W500" s="51"/>
      <c r="X500" s="51"/>
      <c r="Y500" s="51"/>
      <c r="Z500" s="50"/>
      <c r="AA500" s="73">
        <v>500</v>
      </c>
      <c r="AB500" s="73"/>
      <c r="AC500" s="74"/>
      <c r="AD500" s="81" t="s">
        <v>2924</v>
      </c>
      <c r="AE500" s="81" t="s">
        <v>3193</v>
      </c>
      <c r="AF500" s="81"/>
      <c r="AG500" s="81"/>
      <c r="AH500" s="81"/>
      <c r="AI500" s="81" t="s">
        <v>2158</v>
      </c>
      <c r="AJ500" s="88">
        <v>40207.16378472222</v>
      </c>
      <c r="AK500" s="86" t="str">
        <f>HYPERLINK("https://yt3.ggpht.com/ytc/AIf8zZTT2_u50buX4i5NCPluRlucPqtgOM7mxBV-8ZBx=s88-c-k-c0x00ffffff-no-rj")</f>
        <v>https://yt3.ggpht.com/ytc/AIf8zZTT2_u50buX4i5NCPluRlucPqtgOM7mxBV-8ZBx=s88-c-k-c0x00ffffff-no-rj</v>
      </c>
      <c r="AL500" s="81">
        <v>1310</v>
      </c>
      <c r="AM500" s="81">
        <v>0</v>
      </c>
      <c r="AN500" s="81">
        <v>22</v>
      </c>
      <c r="AO500" s="81" t="b">
        <v>0</v>
      </c>
      <c r="AP500" s="81">
        <v>57</v>
      </c>
      <c r="AQ500" s="81"/>
      <c r="AR500" s="81"/>
      <c r="AS500" s="81" t="s">
        <v>3378</v>
      </c>
      <c r="AT500" s="86" t="str">
        <f>HYPERLINK("https://www.youtube.com/channel/UCH9OJiH3gSKH6VOIAzDu6sg")</f>
        <v>https://www.youtube.com/channel/UCH9OJiH3gSKH6VOIAzDu6sg</v>
      </c>
      <c r="AU500" s="81" t="str">
        <f>REPLACE(INDEX(GroupVertices[Group],MATCH("~"&amp;Vertices[[#This Row],[Vertex]],GroupVertices[Vertex],0)),1,1,"")</f>
        <v>2</v>
      </c>
      <c r="AV500" s="49" t="s">
        <v>3466</v>
      </c>
      <c r="AW500" s="49" t="s">
        <v>3466</v>
      </c>
      <c r="AX500" s="49" t="s">
        <v>2414</v>
      </c>
      <c r="AY500" s="49" t="s">
        <v>2414</v>
      </c>
      <c r="AZ500" s="49"/>
      <c r="BA500" s="49"/>
      <c r="BB500" s="117" t="s">
        <v>4162</v>
      </c>
      <c r="BC500" s="117" t="s">
        <v>4162</v>
      </c>
      <c r="BD500" s="117" t="s">
        <v>4849</v>
      </c>
      <c r="BE500" s="117" t="s">
        <v>4849</v>
      </c>
      <c r="BF500" s="2"/>
      <c r="BG500" s="3"/>
      <c r="BH500" s="3"/>
      <c r="BI500" s="3"/>
      <c r="BJ500" s="3"/>
    </row>
    <row r="501" spans="1:62" ht="15">
      <c r="A501" s="66" t="s">
        <v>693</v>
      </c>
      <c r="B501" s="67"/>
      <c r="C501" s="67"/>
      <c r="D501" s="68">
        <v>50</v>
      </c>
      <c r="E501" s="70"/>
      <c r="F501" s="105" t="str">
        <f>HYPERLINK("https://yt3.ggpht.com/ytc/AIf8zZRdZIQ1Sw-K73fc2LgHhawXx7GgOe8qCUZq0Q=s88-c-k-c0x00ffffff-no-rj")</f>
        <v>https://yt3.ggpht.com/ytc/AIf8zZRdZIQ1Sw-K73fc2LgHhawXx7GgOe8qCUZq0Q=s88-c-k-c0x00ffffff-no-rj</v>
      </c>
      <c r="G501" s="67"/>
      <c r="H501" s="71" t="s">
        <v>2925</v>
      </c>
      <c r="I501" s="72"/>
      <c r="J501" s="72" t="s">
        <v>159</v>
      </c>
      <c r="K501" s="71" t="s">
        <v>2925</v>
      </c>
      <c r="L501" s="75">
        <v>1</v>
      </c>
      <c r="M501" s="76">
        <v>3394.694091796875</v>
      </c>
      <c r="N501" s="76">
        <v>2274.125732421875</v>
      </c>
      <c r="O501" s="77"/>
      <c r="P501" s="78"/>
      <c r="Q501" s="78"/>
      <c r="R501" s="90"/>
      <c r="S501" s="49">
        <v>0</v>
      </c>
      <c r="T501" s="49">
        <v>1</v>
      </c>
      <c r="U501" s="50">
        <v>0</v>
      </c>
      <c r="V501" s="50">
        <v>0.220416</v>
      </c>
      <c r="W501" s="51"/>
      <c r="X501" s="51"/>
      <c r="Y501" s="51"/>
      <c r="Z501" s="50"/>
      <c r="AA501" s="73">
        <v>501</v>
      </c>
      <c r="AB501" s="73"/>
      <c r="AC501" s="74"/>
      <c r="AD501" s="81" t="s">
        <v>2925</v>
      </c>
      <c r="AE501" s="81"/>
      <c r="AF501" s="81"/>
      <c r="AG501" s="81"/>
      <c r="AH501" s="81"/>
      <c r="AI501" s="81" t="s">
        <v>2159</v>
      </c>
      <c r="AJ501" s="88">
        <v>40438.379155092596</v>
      </c>
      <c r="AK501" s="86" t="str">
        <f>HYPERLINK("https://yt3.ggpht.com/ytc/AIf8zZRdZIQ1Sw-K73fc2LgHhawXx7GgOe8qCUZq0Q=s88-c-k-c0x00ffffff-no-rj")</f>
        <v>https://yt3.ggpht.com/ytc/AIf8zZRdZIQ1Sw-K73fc2LgHhawXx7GgOe8qCUZq0Q=s88-c-k-c0x00ffffff-no-rj</v>
      </c>
      <c r="AL501" s="81">
        <v>0</v>
      </c>
      <c r="AM501" s="81">
        <v>0</v>
      </c>
      <c r="AN501" s="81">
        <v>1</v>
      </c>
      <c r="AO501" s="81" t="b">
        <v>0</v>
      </c>
      <c r="AP501" s="81">
        <v>0</v>
      </c>
      <c r="AQ501" s="81"/>
      <c r="AR501" s="81"/>
      <c r="AS501" s="81" t="s">
        <v>3378</v>
      </c>
      <c r="AT501" s="86" t="str">
        <f>HYPERLINK("https://www.youtube.com/channel/UCMbMlzar0cQ7VEb61nDhK9w")</f>
        <v>https://www.youtube.com/channel/UCMbMlzar0cQ7VEb61nDhK9w</v>
      </c>
      <c r="AU501" s="81" t="str">
        <f>REPLACE(INDEX(GroupVertices[Group],MATCH("~"&amp;Vertices[[#This Row],[Vertex]],GroupVertices[Vertex],0)),1,1,"")</f>
        <v>2</v>
      </c>
      <c r="AV501" s="49"/>
      <c r="AW501" s="49"/>
      <c r="AX501" s="49"/>
      <c r="AY501" s="49"/>
      <c r="AZ501" s="49"/>
      <c r="BA501" s="49"/>
      <c r="BB501" s="117" t="s">
        <v>4163</v>
      </c>
      <c r="BC501" s="117" t="s">
        <v>4163</v>
      </c>
      <c r="BD501" s="117" t="s">
        <v>4850</v>
      </c>
      <c r="BE501" s="117" t="s">
        <v>4850</v>
      </c>
      <c r="BF501" s="2"/>
      <c r="BG501" s="3"/>
      <c r="BH501" s="3"/>
      <c r="BI501" s="3"/>
      <c r="BJ501" s="3"/>
    </row>
    <row r="502" spans="1:62" ht="15">
      <c r="A502" s="66" t="s">
        <v>694</v>
      </c>
      <c r="B502" s="67"/>
      <c r="C502" s="67"/>
      <c r="D502" s="68">
        <v>50</v>
      </c>
      <c r="E502" s="70"/>
      <c r="F502" s="105" t="str">
        <f>HYPERLINK("https://yt3.ggpht.com/ytc/AIf8zZR3KEggOhYN5_6G699kP7A8twYKs5Xg8Z_MTngxMl9QszV56Il-ohB104Ee0uCx=s88-c-k-c0x00ffffff-no-rj")</f>
        <v>https://yt3.ggpht.com/ytc/AIf8zZR3KEggOhYN5_6G699kP7A8twYKs5Xg8Z_MTngxMl9QszV56Il-ohB104Ee0uCx=s88-c-k-c0x00ffffff-no-rj</v>
      </c>
      <c r="G502" s="67"/>
      <c r="H502" s="71" t="s">
        <v>2926</v>
      </c>
      <c r="I502" s="72"/>
      <c r="J502" s="72" t="s">
        <v>159</v>
      </c>
      <c r="K502" s="71" t="s">
        <v>2926</v>
      </c>
      <c r="L502" s="75">
        <v>1</v>
      </c>
      <c r="M502" s="76">
        <v>977.1690063476562</v>
      </c>
      <c r="N502" s="76">
        <v>1740.882568359375</v>
      </c>
      <c r="O502" s="77"/>
      <c r="P502" s="78"/>
      <c r="Q502" s="78"/>
      <c r="R502" s="90"/>
      <c r="S502" s="49">
        <v>0</v>
      </c>
      <c r="T502" s="49">
        <v>1</v>
      </c>
      <c r="U502" s="50">
        <v>0</v>
      </c>
      <c r="V502" s="50">
        <v>0.220416</v>
      </c>
      <c r="W502" s="51"/>
      <c r="X502" s="51"/>
      <c r="Y502" s="51"/>
      <c r="Z502" s="50"/>
      <c r="AA502" s="73">
        <v>502</v>
      </c>
      <c r="AB502" s="73"/>
      <c r="AC502" s="74"/>
      <c r="AD502" s="81" t="s">
        <v>2926</v>
      </c>
      <c r="AE502" s="81"/>
      <c r="AF502" s="81"/>
      <c r="AG502" s="81"/>
      <c r="AH502" s="81"/>
      <c r="AI502" s="81" t="s">
        <v>2160</v>
      </c>
      <c r="AJ502" s="88">
        <v>41541.60707175926</v>
      </c>
      <c r="AK502" s="86" t="str">
        <f>HYPERLINK("https://yt3.ggpht.com/ytc/AIf8zZR3KEggOhYN5_6G699kP7A8twYKs5Xg8Z_MTngxMl9QszV56Il-ohB104Ee0uCx=s88-c-k-c0x00ffffff-no-rj")</f>
        <v>https://yt3.ggpht.com/ytc/AIf8zZR3KEggOhYN5_6G699kP7A8twYKs5Xg8Z_MTngxMl9QszV56Il-ohB104Ee0uCx=s88-c-k-c0x00ffffff-no-rj</v>
      </c>
      <c r="AL502" s="81">
        <v>0</v>
      </c>
      <c r="AM502" s="81">
        <v>0</v>
      </c>
      <c r="AN502" s="81">
        <v>0</v>
      </c>
      <c r="AO502" s="81" t="b">
        <v>0</v>
      </c>
      <c r="AP502" s="81">
        <v>0</v>
      </c>
      <c r="AQ502" s="81"/>
      <c r="AR502" s="81"/>
      <c r="AS502" s="81" t="s">
        <v>3378</v>
      </c>
      <c r="AT502" s="86" t="str">
        <f>HYPERLINK("https://www.youtube.com/channel/UCxZhzuDxa3aWgKh76vtJ2kg")</f>
        <v>https://www.youtube.com/channel/UCxZhzuDxa3aWgKh76vtJ2kg</v>
      </c>
      <c r="AU502" s="81" t="str">
        <f>REPLACE(INDEX(GroupVertices[Group],MATCH("~"&amp;Vertices[[#This Row],[Vertex]],GroupVertices[Vertex],0)),1,1,"")</f>
        <v>2</v>
      </c>
      <c r="AV502" s="49"/>
      <c r="AW502" s="49"/>
      <c r="AX502" s="49"/>
      <c r="AY502" s="49"/>
      <c r="AZ502" s="49"/>
      <c r="BA502" s="49"/>
      <c r="BB502" s="117" t="s">
        <v>4164</v>
      </c>
      <c r="BC502" s="117" t="s">
        <v>4164</v>
      </c>
      <c r="BD502" s="117" t="s">
        <v>4851</v>
      </c>
      <c r="BE502" s="117" t="s">
        <v>4851</v>
      </c>
      <c r="BF502" s="2"/>
      <c r="BG502" s="3"/>
      <c r="BH502" s="3"/>
      <c r="BI502" s="3"/>
      <c r="BJ502" s="3"/>
    </row>
    <row r="503" spans="1:62" ht="15">
      <c r="A503" s="66" t="s">
        <v>695</v>
      </c>
      <c r="B503" s="67"/>
      <c r="C503" s="67"/>
      <c r="D503" s="68">
        <v>50</v>
      </c>
      <c r="E503" s="70"/>
      <c r="F503" s="105" t="str">
        <f>HYPERLINK("https://yt3.ggpht.com/ytc/AIf8zZSw-IyJoyipDusz1SwT0PK2Fxj3kvTWBVdv64V2FQ=s88-c-k-c0x00ffffff-no-rj")</f>
        <v>https://yt3.ggpht.com/ytc/AIf8zZSw-IyJoyipDusz1SwT0PK2Fxj3kvTWBVdv64V2FQ=s88-c-k-c0x00ffffff-no-rj</v>
      </c>
      <c r="G503" s="67"/>
      <c r="H503" s="71" t="s">
        <v>2927</v>
      </c>
      <c r="I503" s="72"/>
      <c r="J503" s="72" t="s">
        <v>159</v>
      </c>
      <c r="K503" s="71" t="s">
        <v>2927</v>
      </c>
      <c r="L503" s="75">
        <v>1</v>
      </c>
      <c r="M503" s="76">
        <v>1681.1573486328125</v>
      </c>
      <c r="N503" s="76">
        <v>1144.1905517578125</v>
      </c>
      <c r="O503" s="77"/>
      <c r="P503" s="78"/>
      <c r="Q503" s="78"/>
      <c r="R503" s="90"/>
      <c r="S503" s="49">
        <v>0</v>
      </c>
      <c r="T503" s="49">
        <v>1</v>
      </c>
      <c r="U503" s="50">
        <v>0</v>
      </c>
      <c r="V503" s="50">
        <v>0.220416</v>
      </c>
      <c r="W503" s="51"/>
      <c r="X503" s="51"/>
      <c r="Y503" s="51"/>
      <c r="Z503" s="50"/>
      <c r="AA503" s="73">
        <v>503</v>
      </c>
      <c r="AB503" s="73"/>
      <c r="AC503" s="74"/>
      <c r="AD503" s="81" t="s">
        <v>2927</v>
      </c>
      <c r="AE503" s="81" t="s">
        <v>3194</v>
      </c>
      <c r="AF503" s="81"/>
      <c r="AG503" s="81"/>
      <c r="AH503" s="81"/>
      <c r="AI503" s="81" t="s">
        <v>2161</v>
      </c>
      <c r="AJ503" s="88">
        <v>38809.27670138889</v>
      </c>
      <c r="AK503" s="86" t="str">
        <f>HYPERLINK("https://yt3.ggpht.com/ytc/AIf8zZSw-IyJoyipDusz1SwT0PK2Fxj3kvTWBVdv64V2FQ=s88-c-k-c0x00ffffff-no-rj")</f>
        <v>https://yt3.ggpht.com/ytc/AIf8zZSw-IyJoyipDusz1SwT0PK2Fxj3kvTWBVdv64V2FQ=s88-c-k-c0x00ffffff-no-rj</v>
      </c>
      <c r="AL503" s="81">
        <v>29461</v>
      </c>
      <c r="AM503" s="81">
        <v>0</v>
      </c>
      <c r="AN503" s="81">
        <v>115</v>
      </c>
      <c r="AO503" s="81" t="b">
        <v>0</v>
      </c>
      <c r="AP503" s="81">
        <v>5</v>
      </c>
      <c r="AQ503" s="81"/>
      <c r="AR503" s="81"/>
      <c r="AS503" s="81" t="s">
        <v>3378</v>
      </c>
      <c r="AT503" s="86" t="str">
        <f>HYPERLINK("https://www.youtube.com/channel/UCT2p-roxdDS0ov0c-vzYcDg")</f>
        <v>https://www.youtube.com/channel/UCT2p-roxdDS0ov0c-vzYcDg</v>
      </c>
      <c r="AU503" s="81" t="str">
        <f>REPLACE(INDEX(GroupVertices[Group],MATCH("~"&amp;Vertices[[#This Row],[Vertex]],GroupVertices[Vertex],0)),1,1,"")</f>
        <v>2</v>
      </c>
      <c r="AV503" s="49"/>
      <c r="AW503" s="49"/>
      <c r="AX503" s="49"/>
      <c r="AY503" s="49"/>
      <c r="AZ503" s="49"/>
      <c r="BA503" s="49"/>
      <c r="BB503" s="117" t="s">
        <v>4165</v>
      </c>
      <c r="BC503" s="117" t="s">
        <v>4165</v>
      </c>
      <c r="BD503" s="117" t="s">
        <v>2423</v>
      </c>
      <c r="BE503" s="117" t="s">
        <v>2423</v>
      </c>
      <c r="BF503" s="2"/>
      <c r="BG503" s="3"/>
      <c r="BH503" s="3"/>
      <c r="BI503" s="3"/>
      <c r="BJ503" s="3"/>
    </row>
    <row r="504" spans="1:62" ht="15">
      <c r="A504" s="66" t="s">
        <v>696</v>
      </c>
      <c r="B504" s="67"/>
      <c r="C504" s="67"/>
      <c r="D504" s="68">
        <v>50</v>
      </c>
      <c r="E504" s="70"/>
      <c r="F504" s="105" t="str">
        <f>HYPERLINK("https://yt3.ggpht.com/ytc/AIf8zZRjlYP8MddW2QP14ebs27hMw01pjdfCge74VuTo=s88-c-k-c0x00ffffff-no-rj")</f>
        <v>https://yt3.ggpht.com/ytc/AIf8zZRjlYP8MddW2QP14ebs27hMw01pjdfCge74VuTo=s88-c-k-c0x00ffffff-no-rj</v>
      </c>
      <c r="G504" s="67"/>
      <c r="H504" s="71" t="s">
        <v>2928</v>
      </c>
      <c r="I504" s="72"/>
      <c r="J504" s="72" t="s">
        <v>159</v>
      </c>
      <c r="K504" s="71" t="s">
        <v>2928</v>
      </c>
      <c r="L504" s="75">
        <v>1</v>
      </c>
      <c r="M504" s="76">
        <v>191.51382446289062</v>
      </c>
      <c r="N504" s="76">
        <v>1314.16943359375</v>
      </c>
      <c r="O504" s="77"/>
      <c r="P504" s="78"/>
      <c r="Q504" s="78"/>
      <c r="R504" s="90"/>
      <c r="S504" s="49">
        <v>0</v>
      </c>
      <c r="T504" s="49">
        <v>1</v>
      </c>
      <c r="U504" s="50">
        <v>0</v>
      </c>
      <c r="V504" s="50">
        <v>0.220416</v>
      </c>
      <c r="W504" s="51"/>
      <c r="X504" s="51"/>
      <c r="Y504" s="51"/>
      <c r="Z504" s="50"/>
      <c r="AA504" s="73">
        <v>504</v>
      </c>
      <c r="AB504" s="73"/>
      <c r="AC504" s="74"/>
      <c r="AD504" s="81" t="s">
        <v>2928</v>
      </c>
      <c r="AE504" s="81"/>
      <c r="AF504" s="81"/>
      <c r="AG504" s="81"/>
      <c r="AH504" s="81"/>
      <c r="AI504" s="81" t="s">
        <v>2162</v>
      </c>
      <c r="AJ504" s="88">
        <v>41130.37190972222</v>
      </c>
      <c r="AK504" s="86" t="str">
        <f>HYPERLINK("https://yt3.ggpht.com/ytc/AIf8zZRjlYP8MddW2QP14ebs27hMw01pjdfCge74VuTo=s88-c-k-c0x00ffffff-no-rj")</f>
        <v>https://yt3.ggpht.com/ytc/AIf8zZRjlYP8MddW2QP14ebs27hMw01pjdfCge74VuTo=s88-c-k-c0x00ffffff-no-rj</v>
      </c>
      <c r="AL504" s="81">
        <v>0</v>
      </c>
      <c r="AM504" s="81">
        <v>0</v>
      </c>
      <c r="AN504" s="81">
        <v>0</v>
      </c>
      <c r="AO504" s="81" t="b">
        <v>0</v>
      </c>
      <c r="AP504" s="81">
        <v>0</v>
      </c>
      <c r="AQ504" s="81"/>
      <c r="AR504" s="81"/>
      <c r="AS504" s="81" t="s">
        <v>3378</v>
      </c>
      <c r="AT504" s="86" t="str">
        <f>HYPERLINK("https://www.youtube.com/channel/UCS96WOmj3eNUwvYHK5vKcAw")</f>
        <v>https://www.youtube.com/channel/UCS96WOmj3eNUwvYHK5vKcAw</v>
      </c>
      <c r="AU504" s="81" t="str">
        <f>REPLACE(INDEX(GroupVertices[Group],MATCH("~"&amp;Vertices[[#This Row],[Vertex]],GroupVertices[Vertex],0)),1,1,"")</f>
        <v>2</v>
      </c>
      <c r="AV504" s="49"/>
      <c r="AW504" s="49"/>
      <c r="AX504" s="49"/>
      <c r="AY504" s="49"/>
      <c r="AZ504" s="49"/>
      <c r="BA504" s="49"/>
      <c r="BB504" s="117" t="s">
        <v>4166</v>
      </c>
      <c r="BC504" s="117" t="s">
        <v>4166</v>
      </c>
      <c r="BD504" s="117" t="s">
        <v>4852</v>
      </c>
      <c r="BE504" s="117" t="s">
        <v>4852</v>
      </c>
      <c r="BF504" s="2"/>
      <c r="BG504" s="3"/>
      <c r="BH504" s="3"/>
      <c r="BI504" s="3"/>
      <c r="BJ504" s="3"/>
    </row>
    <row r="505" spans="1:62" ht="15">
      <c r="A505" s="66" t="s">
        <v>697</v>
      </c>
      <c r="B505" s="67"/>
      <c r="C505" s="67"/>
      <c r="D505" s="68">
        <v>50</v>
      </c>
      <c r="E505" s="70"/>
      <c r="F505" s="105" t="str">
        <f>HYPERLINK("https://yt3.ggpht.com/ytc/AIf8zZSYYGE3oHKyk7T6bqdMKN1qFNMRnvV9dQXP1A=s88-c-k-c0x00ffffff-no-rj")</f>
        <v>https://yt3.ggpht.com/ytc/AIf8zZSYYGE3oHKyk7T6bqdMKN1qFNMRnvV9dQXP1A=s88-c-k-c0x00ffffff-no-rj</v>
      </c>
      <c r="G505" s="67"/>
      <c r="H505" s="71" t="s">
        <v>2929</v>
      </c>
      <c r="I505" s="72"/>
      <c r="J505" s="72" t="s">
        <v>159</v>
      </c>
      <c r="K505" s="71" t="s">
        <v>2929</v>
      </c>
      <c r="L505" s="75">
        <v>1</v>
      </c>
      <c r="M505" s="76">
        <v>1952.641845703125</v>
      </c>
      <c r="N505" s="76">
        <v>1438.1077880859375</v>
      </c>
      <c r="O505" s="77"/>
      <c r="P505" s="78"/>
      <c r="Q505" s="78"/>
      <c r="R505" s="90"/>
      <c r="S505" s="49">
        <v>0</v>
      </c>
      <c r="T505" s="49">
        <v>1</v>
      </c>
      <c r="U505" s="50">
        <v>0</v>
      </c>
      <c r="V505" s="50">
        <v>0.220416</v>
      </c>
      <c r="W505" s="51"/>
      <c r="X505" s="51"/>
      <c r="Y505" s="51"/>
      <c r="Z505" s="50"/>
      <c r="AA505" s="73">
        <v>505</v>
      </c>
      <c r="AB505" s="73"/>
      <c r="AC505" s="74"/>
      <c r="AD505" s="81" t="s">
        <v>2929</v>
      </c>
      <c r="AE505" s="81"/>
      <c r="AF505" s="81"/>
      <c r="AG505" s="81"/>
      <c r="AH505" s="81"/>
      <c r="AI505" s="81" t="s">
        <v>2163</v>
      </c>
      <c r="AJ505" s="88">
        <v>41652.57607638889</v>
      </c>
      <c r="AK505" s="86" t="str">
        <f>HYPERLINK("https://yt3.ggpht.com/ytc/AIf8zZSYYGE3oHKyk7T6bqdMKN1qFNMRnvV9dQXP1A=s88-c-k-c0x00ffffff-no-rj")</f>
        <v>https://yt3.ggpht.com/ytc/AIf8zZSYYGE3oHKyk7T6bqdMKN1qFNMRnvV9dQXP1A=s88-c-k-c0x00ffffff-no-rj</v>
      </c>
      <c r="AL505" s="81">
        <v>0</v>
      </c>
      <c r="AM505" s="81">
        <v>0</v>
      </c>
      <c r="AN505" s="81">
        <v>0</v>
      </c>
      <c r="AO505" s="81" t="b">
        <v>0</v>
      </c>
      <c r="AP505" s="81">
        <v>0</v>
      </c>
      <c r="AQ505" s="81"/>
      <c r="AR505" s="81"/>
      <c r="AS505" s="81" t="s">
        <v>3378</v>
      </c>
      <c r="AT505" s="86" t="str">
        <f>HYPERLINK("https://www.youtube.com/channel/UC0vw_u4FhVDz6BVIjp7hL4g")</f>
        <v>https://www.youtube.com/channel/UC0vw_u4FhVDz6BVIjp7hL4g</v>
      </c>
      <c r="AU505" s="81" t="str">
        <f>REPLACE(INDEX(GroupVertices[Group],MATCH("~"&amp;Vertices[[#This Row],[Vertex]],GroupVertices[Vertex],0)),1,1,"")</f>
        <v>2</v>
      </c>
      <c r="AV505" s="49"/>
      <c r="AW505" s="49"/>
      <c r="AX505" s="49"/>
      <c r="AY505" s="49"/>
      <c r="AZ505" s="49"/>
      <c r="BA505" s="49"/>
      <c r="BB505" s="117" t="s">
        <v>4167</v>
      </c>
      <c r="BC505" s="117" t="s">
        <v>4167</v>
      </c>
      <c r="BD505" s="117" t="s">
        <v>4853</v>
      </c>
      <c r="BE505" s="117" t="s">
        <v>4853</v>
      </c>
      <c r="BF505" s="2"/>
      <c r="BG505" s="3"/>
      <c r="BH505" s="3"/>
      <c r="BI505" s="3"/>
      <c r="BJ505" s="3"/>
    </row>
    <row r="506" spans="1:62" ht="15">
      <c r="A506" s="66" t="s">
        <v>698</v>
      </c>
      <c r="B506" s="67"/>
      <c r="C506" s="67"/>
      <c r="D506" s="68">
        <v>50</v>
      </c>
      <c r="E506" s="70"/>
      <c r="F506" s="105" t="str">
        <f>HYPERLINK("https://yt3.ggpht.com/ytc/AIf8zZSyYnZFP1IykFG7Zfu-EiJcdyA5-ZsHAebAkGR5=s88-c-k-c0x00ffffff-no-rj")</f>
        <v>https://yt3.ggpht.com/ytc/AIf8zZSyYnZFP1IykFG7Zfu-EiJcdyA5-ZsHAebAkGR5=s88-c-k-c0x00ffffff-no-rj</v>
      </c>
      <c r="G506" s="67"/>
      <c r="H506" s="71" t="s">
        <v>2930</v>
      </c>
      <c r="I506" s="72"/>
      <c r="J506" s="72" t="s">
        <v>159</v>
      </c>
      <c r="K506" s="71" t="s">
        <v>2930</v>
      </c>
      <c r="L506" s="75">
        <v>1</v>
      </c>
      <c r="M506" s="76">
        <v>2510.566162109375</v>
      </c>
      <c r="N506" s="76">
        <v>2526.630615234375</v>
      </c>
      <c r="O506" s="77"/>
      <c r="P506" s="78"/>
      <c r="Q506" s="78"/>
      <c r="R506" s="90"/>
      <c r="S506" s="49">
        <v>0</v>
      </c>
      <c r="T506" s="49">
        <v>1</v>
      </c>
      <c r="U506" s="50">
        <v>0</v>
      </c>
      <c r="V506" s="50">
        <v>0.220416</v>
      </c>
      <c r="W506" s="51"/>
      <c r="X506" s="51"/>
      <c r="Y506" s="51"/>
      <c r="Z506" s="50"/>
      <c r="AA506" s="73">
        <v>506</v>
      </c>
      <c r="AB506" s="73"/>
      <c r="AC506" s="74"/>
      <c r="AD506" s="81" t="s">
        <v>2930</v>
      </c>
      <c r="AE506" s="81"/>
      <c r="AF506" s="81"/>
      <c r="AG506" s="81"/>
      <c r="AH506" s="81"/>
      <c r="AI506" s="81" t="s">
        <v>3336</v>
      </c>
      <c r="AJ506" s="88">
        <v>41430.67978009259</v>
      </c>
      <c r="AK506" s="86" t="str">
        <f>HYPERLINK("https://yt3.ggpht.com/ytc/AIf8zZSyYnZFP1IykFG7Zfu-EiJcdyA5-ZsHAebAkGR5=s88-c-k-c0x00ffffff-no-rj")</f>
        <v>https://yt3.ggpht.com/ytc/AIf8zZSyYnZFP1IykFG7Zfu-EiJcdyA5-ZsHAebAkGR5=s88-c-k-c0x00ffffff-no-rj</v>
      </c>
      <c r="AL506" s="81">
        <v>0</v>
      </c>
      <c r="AM506" s="81">
        <v>0</v>
      </c>
      <c r="AN506" s="81">
        <v>9</v>
      </c>
      <c r="AO506" s="81" t="b">
        <v>0</v>
      </c>
      <c r="AP506" s="81">
        <v>0</v>
      </c>
      <c r="AQ506" s="81"/>
      <c r="AR506" s="81"/>
      <c r="AS506" s="81" t="s">
        <v>3378</v>
      </c>
      <c r="AT506" s="86" t="str">
        <f>HYPERLINK("https://www.youtube.com/channel/UChyOfaIChmJXmh-YNTeNl6w")</f>
        <v>https://www.youtube.com/channel/UChyOfaIChmJXmh-YNTeNl6w</v>
      </c>
      <c r="AU506" s="81" t="str">
        <f>REPLACE(INDEX(GroupVertices[Group],MATCH("~"&amp;Vertices[[#This Row],[Vertex]],GroupVertices[Vertex],0)),1,1,"")</f>
        <v>2</v>
      </c>
      <c r="AV506" s="49"/>
      <c r="AW506" s="49"/>
      <c r="AX506" s="49"/>
      <c r="AY506" s="49"/>
      <c r="AZ506" s="49"/>
      <c r="BA506" s="49"/>
      <c r="BB506" s="117" t="s">
        <v>4168</v>
      </c>
      <c r="BC506" s="117" t="s">
        <v>4168</v>
      </c>
      <c r="BD506" s="117" t="s">
        <v>4854</v>
      </c>
      <c r="BE506" s="117" t="s">
        <v>4854</v>
      </c>
      <c r="BF506" s="2"/>
      <c r="BG506" s="3"/>
      <c r="BH506" s="3"/>
      <c r="BI506" s="3"/>
      <c r="BJ506" s="3"/>
    </row>
    <row r="507" spans="1:62" ht="15">
      <c r="A507" s="66" t="s">
        <v>699</v>
      </c>
      <c r="B507" s="67"/>
      <c r="C507" s="67"/>
      <c r="D507" s="68">
        <v>50</v>
      </c>
      <c r="E507" s="70"/>
      <c r="F507" s="105" t="str">
        <f>HYPERLINK("https://yt3.ggpht.com/ytc/AIf8zZTqruhS_KoZeVBmHjtgGY1y4NaX2wBEscwWoQ=s88-c-k-c0x00ffffff-no-rj")</f>
        <v>https://yt3.ggpht.com/ytc/AIf8zZTqruhS_KoZeVBmHjtgGY1y4NaX2wBEscwWoQ=s88-c-k-c0x00ffffff-no-rj</v>
      </c>
      <c r="G507" s="67"/>
      <c r="H507" s="71" t="s">
        <v>2931</v>
      </c>
      <c r="I507" s="72"/>
      <c r="J507" s="72" t="s">
        <v>159</v>
      </c>
      <c r="K507" s="71" t="s">
        <v>2931</v>
      </c>
      <c r="L507" s="75">
        <v>1</v>
      </c>
      <c r="M507" s="76">
        <v>246.67874145507812</v>
      </c>
      <c r="N507" s="76">
        <v>2555.325439453125</v>
      </c>
      <c r="O507" s="77"/>
      <c r="P507" s="78"/>
      <c r="Q507" s="78"/>
      <c r="R507" s="90"/>
      <c r="S507" s="49">
        <v>0</v>
      </c>
      <c r="T507" s="49">
        <v>1</v>
      </c>
      <c r="U507" s="50">
        <v>0</v>
      </c>
      <c r="V507" s="50">
        <v>0.220416</v>
      </c>
      <c r="W507" s="51"/>
      <c r="X507" s="51"/>
      <c r="Y507" s="51"/>
      <c r="Z507" s="50"/>
      <c r="AA507" s="73">
        <v>507</v>
      </c>
      <c r="AB507" s="73"/>
      <c r="AC507" s="74"/>
      <c r="AD507" s="81" t="s">
        <v>2931</v>
      </c>
      <c r="AE507" s="81"/>
      <c r="AF507" s="81"/>
      <c r="AG507" s="81"/>
      <c r="AH507" s="81"/>
      <c r="AI507" s="81" t="s">
        <v>2165</v>
      </c>
      <c r="AJ507" s="88">
        <v>43969.38722222222</v>
      </c>
      <c r="AK507" s="86" t="str">
        <f>HYPERLINK("https://yt3.ggpht.com/ytc/AIf8zZTqruhS_KoZeVBmHjtgGY1y4NaX2wBEscwWoQ=s88-c-k-c0x00ffffff-no-rj")</f>
        <v>https://yt3.ggpht.com/ytc/AIf8zZTqruhS_KoZeVBmHjtgGY1y4NaX2wBEscwWoQ=s88-c-k-c0x00ffffff-no-rj</v>
      </c>
      <c r="AL507" s="81">
        <v>0</v>
      </c>
      <c r="AM507" s="81">
        <v>0</v>
      </c>
      <c r="AN507" s="81">
        <v>0</v>
      </c>
      <c r="AO507" s="81" t="b">
        <v>0</v>
      </c>
      <c r="AP507" s="81">
        <v>0</v>
      </c>
      <c r="AQ507" s="81"/>
      <c r="AR507" s="81"/>
      <c r="AS507" s="81" t="s">
        <v>3378</v>
      </c>
      <c r="AT507" s="86" t="str">
        <f>HYPERLINK("https://www.youtube.com/channel/UCYXGrKFyrb2BJ7_mhfw45Gg")</f>
        <v>https://www.youtube.com/channel/UCYXGrKFyrb2BJ7_mhfw45Gg</v>
      </c>
      <c r="AU507" s="81" t="str">
        <f>REPLACE(INDEX(GroupVertices[Group],MATCH("~"&amp;Vertices[[#This Row],[Vertex]],GroupVertices[Vertex],0)),1,1,"")</f>
        <v>2</v>
      </c>
      <c r="AV507" s="49"/>
      <c r="AW507" s="49"/>
      <c r="AX507" s="49"/>
      <c r="AY507" s="49"/>
      <c r="AZ507" s="49"/>
      <c r="BA507" s="49"/>
      <c r="BB507" s="117" t="s">
        <v>4169</v>
      </c>
      <c r="BC507" s="117" t="s">
        <v>4169</v>
      </c>
      <c r="BD507" s="117" t="s">
        <v>4855</v>
      </c>
      <c r="BE507" s="117" t="s">
        <v>4855</v>
      </c>
      <c r="BF507" s="2"/>
      <c r="BG507" s="3"/>
      <c r="BH507" s="3"/>
      <c r="BI507" s="3"/>
      <c r="BJ507" s="3"/>
    </row>
    <row r="508" spans="1:62" ht="15">
      <c r="A508" s="66" t="s">
        <v>700</v>
      </c>
      <c r="B508" s="67"/>
      <c r="C508" s="67"/>
      <c r="D508" s="68">
        <v>50</v>
      </c>
      <c r="E508" s="70"/>
      <c r="F508" s="105" t="str">
        <f>HYPERLINK("https://yt3.ggpht.com/ytc/AIf8zZRiMQOespnq6TLiLyN0eVl-uCRxacCM0Z1_YQ=s88-c-k-c0x00ffffff-no-rj")</f>
        <v>https://yt3.ggpht.com/ytc/AIf8zZRiMQOespnq6TLiLyN0eVl-uCRxacCM0Z1_YQ=s88-c-k-c0x00ffffff-no-rj</v>
      </c>
      <c r="G508" s="67"/>
      <c r="H508" s="71" t="s">
        <v>2932</v>
      </c>
      <c r="I508" s="72"/>
      <c r="J508" s="72" t="s">
        <v>159</v>
      </c>
      <c r="K508" s="71" t="s">
        <v>2932</v>
      </c>
      <c r="L508" s="75">
        <v>1</v>
      </c>
      <c r="M508" s="76">
        <v>3216.753173828125</v>
      </c>
      <c r="N508" s="76">
        <v>1153.962646484375</v>
      </c>
      <c r="O508" s="77"/>
      <c r="P508" s="78"/>
      <c r="Q508" s="78"/>
      <c r="R508" s="90"/>
      <c r="S508" s="49">
        <v>0</v>
      </c>
      <c r="T508" s="49">
        <v>1</v>
      </c>
      <c r="U508" s="50">
        <v>0</v>
      </c>
      <c r="V508" s="50">
        <v>0.220416</v>
      </c>
      <c r="W508" s="51"/>
      <c r="X508" s="51"/>
      <c r="Y508" s="51"/>
      <c r="Z508" s="50"/>
      <c r="AA508" s="73">
        <v>508</v>
      </c>
      <c r="AB508" s="73"/>
      <c r="AC508" s="74"/>
      <c r="AD508" s="81" t="s">
        <v>2932</v>
      </c>
      <c r="AE508" s="81"/>
      <c r="AF508" s="81"/>
      <c r="AG508" s="81"/>
      <c r="AH508" s="81"/>
      <c r="AI508" s="81" t="s">
        <v>2166</v>
      </c>
      <c r="AJ508" s="88">
        <v>39370.40688657408</v>
      </c>
      <c r="AK508" s="86" t="str">
        <f>HYPERLINK("https://yt3.ggpht.com/ytc/AIf8zZRiMQOespnq6TLiLyN0eVl-uCRxacCM0Z1_YQ=s88-c-k-c0x00ffffff-no-rj")</f>
        <v>https://yt3.ggpht.com/ytc/AIf8zZRiMQOespnq6TLiLyN0eVl-uCRxacCM0Z1_YQ=s88-c-k-c0x00ffffff-no-rj</v>
      </c>
      <c r="AL508" s="81">
        <v>0</v>
      </c>
      <c r="AM508" s="81">
        <v>0</v>
      </c>
      <c r="AN508" s="81">
        <v>1</v>
      </c>
      <c r="AO508" s="81" t="b">
        <v>0</v>
      </c>
      <c r="AP508" s="81">
        <v>0</v>
      </c>
      <c r="AQ508" s="81"/>
      <c r="AR508" s="81"/>
      <c r="AS508" s="81" t="s">
        <v>3378</v>
      </c>
      <c r="AT508" s="86" t="str">
        <f>HYPERLINK("https://www.youtube.com/channel/UCfe83fYh_9hoSzCFkOXB9hg")</f>
        <v>https://www.youtube.com/channel/UCfe83fYh_9hoSzCFkOXB9hg</v>
      </c>
      <c r="AU508" s="81" t="str">
        <f>REPLACE(INDEX(GroupVertices[Group],MATCH("~"&amp;Vertices[[#This Row],[Vertex]],GroupVertices[Vertex],0)),1,1,"")</f>
        <v>2</v>
      </c>
      <c r="AV508" s="49"/>
      <c r="AW508" s="49"/>
      <c r="AX508" s="49"/>
      <c r="AY508" s="49"/>
      <c r="AZ508" s="49"/>
      <c r="BA508" s="49"/>
      <c r="BB508" s="117" t="s">
        <v>4170</v>
      </c>
      <c r="BC508" s="117" t="s">
        <v>4170</v>
      </c>
      <c r="BD508" s="117" t="s">
        <v>4856</v>
      </c>
      <c r="BE508" s="117" t="s">
        <v>4856</v>
      </c>
      <c r="BF508" s="2"/>
      <c r="BG508" s="3"/>
      <c r="BH508" s="3"/>
      <c r="BI508" s="3"/>
      <c r="BJ508" s="3"/>
    </row>
    <row r="509" spans="1:62" ht="15">
      <c r="A509" s="66" t="s">
        <v>701</v>
      </c>
      <c r="B509" s="67"/>
      <c r="C509" s="67"/>
      <c r="D509" s="68">
        <v>50</v>
      </c>
      <c r="E509" s="70"/>
      <c r="F509" s="105" t="str">
        <f>HYPERLINK("https://yt3.ggpht.com/ytc/AIf8zZQcgSRXQUdpdiG01dncAB9dptKzOYy2LklwTA=s88-c-k-c0x00ffffff-no-rj")</f>
        <v>https://yt3.ggpht.com/ytc/AIf8zZQcgSRXQUdpdiG01dncAB9dptKzOYy2LklwTA=s88-c-k-c0x00ffffff-no-rj</v>
      </c>
      <c r="G509" s="67"/>
      <c r="H509" s="71" t="s">
        <v>2933</v>
      </c>
      <c r="I509" s="72"/>
      <c r="J509" s="72" t="s">
        <v>159</v>
      </c>
      <c r="K509" s="71" t="s">
        <v>2933</v>
      </c>
      <c r="L509" s="75">
        <v>1</v>
      </c>
      <c r="M509" s="76">
        <v>1403.24072265625</v>
      </c>
      <c r="N509" s="76">
        <v>2667.98779296875</v>
      </c>
      <c r="O509" s="77"/>
      <c r="P509" s="78"/>
      <c r="Q509" s="78"/>
      <c r="R509" s="90"/>
      <c r="S509" s="49">
        <v>0</v>
      </c>
      <c r="T509" s="49">
        <v>1</v>
      </c>
      <c r="U509" s="50">
        <v>0</v>
      </c>
      <c r="V509" s="50">
        <v>0.220416</v>
      </c>
      <c r="W509" s="51"/>
      <c r="X509" s="51"/>
      <c r="Y509" s="51"/>
      <c r="Z509" s="50"/>
      <c r="AA509" s="73">
        <v>509</v>
      </c>
      <c r="AB509" s="73"/>
      <c r="AC509" s="74"/>
      <c r="AD509" s="81" t="s">
        <v>2933</v>
      </c>
      <c r="AE509" s="81"/>
      <c r="AF509" s="81"/>
      <c r="AG509" s="81"/>
      <c r="AH509" s="81"/>
      <c r="AI509" s="81" t="s">
        <v>2167</v>
      </c>
      <c r="AJ509" s="88">
        <v>42168.00363425926</v>
      </c>
      <c r="AK509" s="86" t="str">
        <f>HYPERLINK("https://yt3.ggpht.com/ytc/AIf8zZQcgSRXQUdpdiG01dncAB9dptKzOYy2LklwTA=s88-c-k-c0x00ffffff-no-rj")</f>
        <v>https://yt3.ggpht.com/ytc/AIf8zZQcgSRXQUdpdiG01dncAB9dptKzOYy2LklwTA=s88-c-k-c0x00ffffff-no-rj</v>
      </c>
      <c r="AL509" s="81">
        <v>860</v>
      </c>
      <c r="AM509" s="81">
        <v>0</v>
      </c>
      <c r="AN509" s="81">
        <v>7</v>
      </c>
      <c r="AO509" s="81" t="b">
        <v>0</v>
      </c>
      <c r="AP509" s="81">
        <v>6</v>
      </c>
      <c r="AQ509" s="81"/>
      <c r="AR509" s="81"/>
      <c r="AS509" s="81" t="s">
        <v>3378</v>
      </c>
      <c r="AT509" s="86" t="str">
        <f>HYPERLINK("https://www.youtube.com/channel/UCYEd7P0_l36H5Fi_6WsUV1w")</f>
        <v>https://www.youtube.com/channel/UCYEd7P0_l36H5Fi_6WsUV1w</v>
      </c>
      <c r="AU509" s="81" t="str">
        <f>REPLACE(INDEX(GroupVertices[Group],MATCH("~"&amp;Vertices[[#This Row],[Vertex]],GroupVertices[Vertex],0)),1,1,"")</f>
        <v>2</v>
      </c>
      <c r="AV509" s="49"/>
      <c r="AW509" s="49"/>
      <c r="AX509" s="49"/>
      <c r="AY509" s="49"/>
      <c r="AZ509" s="49"/>
      <c r="BA509" s="49"/>
      <c r="BB509" s="117" t="s">
        <v>4171</v>
      </c>
      <c r="BC509" s="117" t="s">
        <v>4171</v>
      </c>
      <c r="BD509" s="117" t="s">
        <v>4857</v>
      </c>
      <c r="BE509" s="117" t="s">
        <v>4857</v>
      </c>
      <c r="BF509" s="2"/>
      <c r="BG509" s="3"/>
      <c r="BH509" s="3"/>
      <c r="BI509" s="3"/>
      <c r="BJ509" s="3"/>
    </row>
    <row r="510" spans="1:62" ht="15">
      <c r="A510" s="66" t="s">
        <v>702</v>
      </c>
      <c r="B510" s="67"/>
      <c r="C510" s="67"/>
      <c r="D510" s="68">
        <v>50</v>
      </c>
      <c r="E510" s="70"/>
      <c r="F510" s="105" t="str">
        <f>HYPERLINK("https://yt3.ggpht.com/ytc/AIf8zZTB6ya7mS0Lb8J5LeKWJZ1cZ4LAxTrGZKJh_A=s88-c-k-c0x00ffffff-no-rj")</f>
        <v>https://yt3.ggpht.com/ytc/AIf8zZTB6ya7mS0Lb8J5LeKWJZ1cZ4LAxTrGZKJh_A=s88-c-k-c0x00ffffff-no-rj</v>
      </c>
      <c r="G510" s="67"/>
      <c r="H510" s="71" t="s">
        <v>2934</v>
      </c>
      <c r="I510" s="72"/>
      <c r="J510" s="72" t="s">
        <v>159</v>
      </c>
      <c r="K510" s="71" t="s">
        <v>2934</v>
      </c>
      <c r="L510" s="75">
        <v>1</v>
      </c>
      <c r="M510" s="76">
        <v>2803.514404296875</v>
      </c>
      <c r="N510" s="76">
        <v>3357.893798828125</v>
      </c>
      <c r="O510" s="77"/>
      <c r="P510" s="78"/>
      <c r="Q510" s="78"/>
      <c r="R510" s="90"/>
      <c r="S510" s="49">
        <v>0</v>
      </c>
      <c r="T510" s="49">
        <v>1</v>
      </c>
      <c r="U510" s="50">
        <v>0</v>
      </c>
      <c r="V510" s="50">
        <v>0.220416</v>
      </c>
      <c r="W510" s="51"/>
      <c r="X510" s="51"/>
      <c r="Y510" s="51"/>
      <c r="Z510" s="50"/>
      <c r="AA510" s="73">
        <v>510</v>
      </c>
      <c r="AB510" s="73"/>
      <c r="AC510" s="74"/>
      <c r="AD510" s="81" t="s">
        <v>2934</v>
      </c>
      <c r="AE510" s="81"/>
      <c r="AF510" s="81"/>
      <c r="AG510" s="81"/>
      <c r="AH510" s="81"/>
      <c r="AI510" s="81" t="s">
        <v>2168</v>
      </c>
      <c r="AJ510" s="88">
        <v>44239.02244212963</v>
      </c>
      <c r="AK510" s="86" t="str">
        <f>HYPERLINK("https://yt3.ggpht.com/ytc/AIf8zZTB6ya7mS0Lb8J5LeKWJZ1cZ4LAxTrGZKJh_A=s88-c-k-c0x00ffffff-no-rj")</f>
        <v>https://yt3.ggpht.com/ytc/AIf8zZTB6ya7mS0Lb8J5LeKWJZ1cZ4LAxTrGZKJh_A=s88-c-k-c0x00ffffff-no-rj</v>
      </c>
      <c r="AL510" s="81">
        <v>0</v>
      </c>
      <c r="AM510" s="81">
        <v>0</v>
      </c>
      <c r="AN510" s="81">
        <v>1</v>
      </c>
      <c r="AO510" s="81" t="b">
        <v>0</v>
      </c>
      <c r="AP510" s="81">
        <v>0</v>
      </c>
      <c r="AQ510" s="81"/>
      <c r="AR510" s="81"/>
      <c r="AS510" s="81" t="s">
        <v>3378</v>
      </c>
      <c r="AT510" s="86" t="str">
        <f>HYPERLINK("https://www.youtube.com/channel/UC-PxJnQ4eNOYzukE0IYC_mg")</f>
        <v>https://www.youtube.com/channel/UC-PxJnQ4eNOYzukE0IYC_mg</v>
      </c>
      <c r="AU510" s="81" t="str">
        <f>REPLACE(INDEX(GroupVertices[Group],MATCH("~"&amp;Vertices[[#This Row],[Vertex]],GroupVertices[Vertex],0)),1,1,"")</f>
        <v>2</v>
      </c>
      <c r="AV510" s="49"/>
      <c r="AW510" s="49"/>
      <c r="AX510" s="49"/>
      <c r="AY510" s="49"/>
      <c r="AZ510" s="49"/>
      <c r="BA510" s="49"/>
      <c r="BB510" s="117" t="s">
        <v>4172</v>
      </c>
      <c r="BC510" s="117" t="s">
        <v>4172</v>
      </c>
      <c r="BD510" s="117" t="s">
        <v>4858</v>
      </c>
      <c r="BE510" s="117" t="s">
        <v>4858</v>
      </c>
      <c r="BF510" s="2"/>
      <c r="BG510" s="3"/>
      <c r="BH510" s="3"/>
      <c r="BI510" s="3"/>
      <c r="BJ510" s="3"/>
    </row>
    <row r="511" spans="1:62" ht="15">
      <c r="A511" s="66" t="s">
        <v>703</v>
      </c>
      <c r="B511" s="67"/>
      <c r="C511" s="67"/>
      <c r="D511" s="68">
        <v>50</v>
      </c>
      <c r="E511" s="70"/>
      <c r="F511" s="105" t="str">
        <f>HYPERLINK("https://yt3.ggpht.com/ytc/AIf8zZRr3f97mOiZNw-MEsd_hACtke_JTd3s_Wmu2A=s88-c-k-c0x00ffffff-no-rj")</f>
        <v>https://yt3.ggpht.com/ytc/AIf8zZRr3f97mOiZNw-MEsd_hACtke_JTd3s_Wmu2A=s88-c-k-c0x00ffffff-no-rj</v>
      </c>
      <c r="G511" s="67"/>
      <c r="H511" s="71" t="s">
        <v>2935</v>
      </c>
      <c r="I511" s="72"/>
      <c r="J511" s="72" t="s">
        <v>159</v>
      </c>
      <c r="K511" s="71" t="s">
        <v>2935</v>
      </c>
      <c r="L511" s="75">
        <v>1</v>
      </c>
      <c r="M511" s="76">
        <v>2268.89013671875</v>
      </c>
      <c r="N511" s="76">
        <v>3267.099609375</v>
      </c>
      <c r="O511" s="77"/>
      <c r="P511" s="78"/>
      <c r="Q511" s="78"/>
      <c r="R511" s="90"/>
      <c r="S511" s="49">
        <v>0</v>
      </c>
      <c r="T511" s="49">
        <v>1</v>
      </c>
      <c r="U511" s="50">
        <v>0</v>
      </c>
      <c r="V511" s="50">
        <v>0.220416</v>
      </c>
      <c r="W511" s="51"/>
      <c r="X511" s="51"/>
      <c r="Y511" s="51"/>
      <c r="Z511" s="50"/>
      <c r="AA511" s="73">
        <v>511</v>
      </c>
      <c r="AB511" s="73"/>
      <c r="AC511" s="74"/>
      <c r="AD511" s="81" t="s">
        <v>2935</v>
      </c>
      <c r="AE511" s="81"/>
      <c r="AF511" s="81"/>
      <c r="AG511" s="81"/>
      <c r="AH511" s="81"/>
      <c r="AI511" s="81" t="s">
        <v>2169</v>
      </c>
      <c r="AJ511" s="88">
        <v>43914.982465277775</v>
      </c>
      <c r="AK511" s="86" t="str">
        <f>HYPERLINK("https://yt3.ggpht.com/ytc/AIf8zZRr3f97mOiZNw-MEsd_hACtke_JTd3s_Wmu2A=s88-c-k-c0x00ffffff-no-rj")</f>
        <v>https://yt3.ggpht.com/ytc/AIf8zZRr3f97mOiZNw-MEsd_hACtke_JTd3s_Wmu2A=s88-c-k-c0x00ffffff-no-rj</v>
      </c>
      <c r="AL511" s="81">
        <v>0</v>
      </c>
      <c r="AM511" s="81">
        <v>0</v>
      </c>
      <c r="AN511" s="81">
        <v>0</v>
      </c>
      <c r="AO511" s="81" t="b">
        <v>0</v>
      </c>
      <c r="AP511" s="81">
        <v>0</v>
      </c>
      <c r="AQ511" s="81"/>
      <c r="AR511" s="81"/>
      <c r="AS511" s="81" t="s">
        <v>3378</v>
      </c>
      <c r="AT511" s="86" t="str">
        <f>HYPERLINK("https://www.youtube.com/channel/UCTb6R7eVlCVS0dqDNygYu4Q")</f>
        <v>https://www.youtube.com/channel/UCTb6R7eVlCVS0dqDNygYu4Q</v>
      </c>
      <c r="AU511" s="81" t="str">
        <f>REPLACE(INDEX(GroupVertices[Group],MATCH("~"&amp;Vertices[[#This Row],[Vertex]],GroupVertices[Vertex],0)),1,1,"")</f>
        <v>2</v>
      </c>
      <c r="AV511" s="49"/>
      <c r="AW511" s="49"/>
      <c r="AX511" s="49"/>
      <c r="AY511" s="49"/>
      <c r="AZ511" s="49"/>
      <c r="BA511" s="49"/>
      <c r="BB511" s="117" t="s">
        <v>4173</v>
      </c>
      <c r="BC511" s="117" t="s">
        <v>4173</v>
      </c>
      <c r="BD511" s="117" t="s">
        <v>4859</v>
      </c>
      <c r="BE511" s="117" t="s">
        <v>4859</v>
      </c>
      <c r="BF511" s="2"/>
      <c r="BG511" s="3"/>
      <c r="BH511" s="3"/>
      <c r="BI511" s="3"/>
      <c r="BJ511" s="3"/>
    </row>
    <row r="512" spans="1:62" ht="15">
      <c r="A512" s="66" t="s">
        <v>704</v>
      </c>
      <c r="B512" s="67"/>
      <c r="C512" s="67"/>
      <c r="D512" s="68">
        <v>50</v>
      </c>
      <c r="E512" s="70"/>
      <c r="F512" s="105" t="str">
        <f>HYPERLINK("https://yt3.ggpht.com/ytc/AIf8zZSlMjSscG_5Uh4p3cdZvJD-P5XRHvhBraAMlA=s88-c-k-c0x00ffffff-no-rj")</f>
        <v>https://yt3.ggpht.com/ytc/AIf8zZSlMjSscG_5Uh4p3cdZvJD-P5XRHvhBraAMlA=s88-c-k-c0x00ffffff-no-rj</v>
      </c>
      <c r="G512" s="67"/>
      <c r="H512" s="71" t="s">
        <v>2936</v>
      </c>
      <c r="I512" s="72"/>
      <c r="J512" s="72" t="s">
        <v>159</v>
      </c>
      <c r="K512" s="71" t="s">
        <v>2936</v>
      </c>
      <c r="L512" s="75">
        <v>1</v>
      </c>
      <c r="M512" s="76">
        <v>109.44490051269531</v>
      </c>
      <c r="N512" s="76">
        <v>1779.892822265625</v>
      </c>
      <c r="O512" s="77"/>
      <c r="P512" s="78"/>
      <c r="Q512" s="78"/>
      <c r="R512" s="90"/>
      <c r="S512" s="49">
        <v>0</v>
      </c>
      <c r="T512" s="49">
        <v>1</v>
      </c>
      <c r="U512" s="50">
        <v>0</v>
      </c>
      <c r="V512" s="50">
        <v>0.220416</v>
      </c>
      <c r="W512" s="51"/>
      <c r="X512" s="51"/>
      <c r="Y512" s="51"/>
      <c r="Z512" s="50"/>
      <c r="AA512" s="73">
        <v>512</v>
      </c>
      <c r="AB512" s="73"/>
      <c r="AC512" s="74"/>
      <c r="AD512" s="81" t="s">
        <v>2936</v>
      </c>
      <c r="AE512" s="81"/>
      <c r="AF512" s="81"/>
      <c r="AG512" s="81"/>
      <c r="AH512" s="81"/>
      <c r="AI512" s="81" t="s">
        <v>2170</v>
      </c>
      <c r="AJ512" s="88">
        <v>40830.28337962963</v>
      </c>
      <c r="AK512" s="86" t="str">
        <f>HYPERLINK("https://yt3.ggpht.com/ytc/AIf8zZSlMjSscG_5Uh4p3cdZvJD-P5XRHvhBraAMlA=s88-c-k-c0x00ffffff-no-rj")</f>
        <v>https://yt3.ggpht.com/ytc/AIf8zZSlMjSscG_5Uh4p3cdZvJD-P5XRHvhBraAMlA=s88-c-k-c0x00ffffff-no-rj</v>
      </c>
      <c r="AL512" s="81">
        <v>4266</v>
      </c>
      <c r="AM512" s="81">
        <v>0</v>
      </c>
      <c r="AN512" s="81">
        <v>28</v>
      </c>
      <c r="AO512" s="81" t="b">
        <v>0</v>
      </c>
      <c r="AP512" s="81">
        <v>12</v>
      </c>
      <c r="AQ512" s="81"/>
      <c r="AR512" s="81"/>
      <c r="AS512" s="81" t="s">
        <v>3378</v>
      </c>
      <c r="AT512" s="86" t="str">
        <f>HYPERLINK("https://www.youtube.com/channel/UCdL6lEehDERIAZN4KaLbjVA")</f>
        <v>https://www.youtube.com/channel/UCdL6lEehDERIAZN4KaLbjVA</v>
      </c>
      <c r="AU512" s="81" t="str">
        <f>REPLACE(INDEX(GroupVertices[Group],MATCH("~"&amp;Vertices[[#This Row],[Vertex]],GroupVertices[Vertex],0)),1,1,"")</f>
        <v>2</v>
      </c>
      <c r="AV512" s="49"/>
      <c r="AW512" s="49"/>
      <c r="AX512" s="49"/>
      <c r="AY512" s="49"/>
      <c r="AZ512" s="49"/>
      <c r="BA512" s="49"/>
      <c r="BB512" s="117" t="s">
        <v>4174</v>
      </c>
      <c r="BC512" s="117" t="s">
        <v>4174</v>
      </c>
      <c r="BD512" s="117" t="s">
        <v>4860</v>
      </c>
      <c r="BE512" s="117" t="s">
        <v>4860</v>
      </c>
      <c r="BF512" s="2"/>
      <c r="BG512" s="3"/>
      <c r="BH512" s="3"/>
      <c r="BI512" s="3"/>
      <c r="BJ512" s="3"/>
    </row>
    <row r="513" spans="1:62" ht="15">
      <c r="A513" s="66" t="s">
        <v>705</v>
      </c>
      <c r="B513" s="67"/>
      <c r="C513" s="67"/>
      <c r="D513" s="68">
        <v>50</v>
      </c>
      <c r="E513" s="70"/>
      <c r="F513" s="105" t="str">
        <f>HYPERLINK("https://yt3.ggpht.com/ytc/AIf8zZQBj_RzQORexceufxEtiUAb8vyv5i6R5Unb0A=s88-c-k-c0x00ffffff-no-rj")</f>
        <v>https://yt3.ggpht.com/ytc/AIf8zZQBj_RzQORexceufxEtiUAb8vyv5i6R5Unb0A=s88-c-k-c0x00ffffff-no-rj</v>
      </c>
      <c r="G513" s="67"/>
      <c r="H513" s="71" t="s">
        <v>2937</v>
      </c>
      <c r="I513" s="72"/>
      <c r="J513" s="72" t="s">
        <v>159</v>
      </c>
      <c r="K513" s="71" t="s">
        <v>2937</v>
      </c>
      <c r="L513" s="75">
        <v>1</v>
      </c>
      <c r="M513" s="76">
        <v>1061.6729736328125</v>
      </c>
      <c r="N513" s="76">
        <v>364.607666015625</v>
      </c>
      <c r="O513" s="77"/>
      <c r="P513" s="78"/>
      <c r="Q513" s="78"/>
      <c r="R513" s="90"/>
      <c r="S513" s="49">
        <v>0</v>
      </c>
      <c r="T513" s="49">
        <v>1</v>
      </c>
      <c r="U513" s="50">
        <v>0</v>
      </c>
      <c r="V513" s="50">
        <v>0.220416</v>
      </c>
      <c r="W513" s="51"/>
      <c r="X513" s="51"/>
      <c r="Y513" s="51"/>
      <c r="Z513" s="50"/>
      <c r="AA513" s="73">
        <v>513</v>
      </c>
      <c r="AB513" s="73"/>
      <c r="AC513" s="74"/>
      <c r="AD513" s="81" t="s">
        <v>2937</v>
      </c>
      <c r="AE513" s="81"/>
      <c r="AF513" s="81"/>
      <c r="AG513" s="81"/>
      <c r="AH513" s="81"/>
      <c r="AI513" s="81" t="s">
        <v>2171</v>
      </c>
      <c r="AJ513" s="88">
        <v>41811.483298611114</v>
      </c>
      <c r="AK513" s="86" t="str">
        <f>HYPERLINK("https://yt3.ggpht.com/ytc/AIf8zZQBj_RzQORexceufxEtiUAb8vyv5i6R5Unb0A=s88-c-k-c0x00ffffff-no-rj")</f>
        <v>https://yt3.ggpht.com/ytc/AIf8zZQBj_RzQORexceufxEtiUAb8vyv5i6R5Unb0A=s88-c-k-c0x00ffffff-no-rj</v>
      </c>
      <c r="AL513" s="81">
        <v>0</v>
      </c>
      <c r="AM513" s="81">
        <v>0</v>
      </c>
      <c r="AN513" s="81">
        <v>0</v>
      </c>
      <c r="AO513" s="81" t="b">
        <v>0</v>
      </c>
      <c r="AP513" s="81">
        <v>0</v>
      </c>
      <c r="AQ513" s="81"/>
      <c r="AR513" s="81"/>
      <c r="AS513" s="81" t="s">
        <v>3378</v>
      </c>
      <c r="AT513" s="86" t="str">
        <f>HYPERLINK("https://www.youtube.com/channel/UCRDaBFMqA5pt1HTQdyNKy_A")</f>
        <v>https://www.youtube.com/channel/UCRDaBFMqA5pt1HTQdyNKy_A</v>
      </c>
      <c r="AU513" s="81" t="str">
        <f>REPLACE(INDEX(GroupVertices[Group],MATCH("~"&amp;Vertices[[#This Row],[Vertex]],GroupVertices[Vertex],0)),1,1,"")</f>
        <v>2</v>
      </c>
      <c r="AV513" s="49"/>
      <c r="AW513" s="49"/>
      <c r="AX513" s="49"/>
      <c r="AY513" s="49"/>
      <c r="AZ513" s="49"/>
      <c r="BA513" s="49"/>
      <c r="BB513" s="117" t="s">
        <v>4175</v>
      </c>
      <c r="BC513" s="117" t="s">
        <v>4175</v>
      </c>
      <c r="BD513" s="117" t="s">
        <v>4861</v>
      </c>
      <c r="BE513" s="117" t="s">
        <v>4861</v>
      </c>
      <c r="BF513" s="2"/>
      <c r="BG513" s="3"/>
      <c r="BH513" s="3"/>
      <c r="BI513" s="3"/>
      <c r="BJ513" s="3"/>
    </row>
    <row r="514" spans="1:62" ht="15">
      <c r="A514" s="66" t="s">
        <v>706</v>
      </c>
      <c r="B514" s="67"/>
      <c r="C514" s="67"/>
      <c r="D514" s="68">
        <v>50</v>
      </c>
      <c r="E514" s="70"/>
      <c r="F514" s="105" t="str">
        <f>HYPERLINK("https://yt3.ggpht.com/ytc/AIf8zZRFbjVAM8XN3kXr95CbJXmEr-brYoeze98Jo5xFp2OLSFsfjh-0reNrjj-dKA89=s88-c-k-c0x00ffffff-no-rj")</f>
        <v>https://yt3.ggpht.com/ytc/AIf8zZRFbjVAM8XN3kXr95CbJXmEr-brYoeze98Jo5xFp2OLSFsfjh-0reNrjj-dKA89=s88-c-k-c0x00ffffff-no-rj</v>
      </c>
      <c r="G514" s="67"/>
      <c r="H514" s="71" t="s">
        <v>2938</v>
      </c>
      <c r="I514" s="72"/>
      <c r="J514" s="72" t="s">
        <v>159</v>
      </c>
      <c r="K514" s="71" t="s">
        <v>2938</v>
      </c>
      <c r="L514" s="75">
        <v>1</v>
      </c>
      <c r="M514" s="76">
        <v>3679.689453125</v>
      </c>
      <c r="N514" s="76">
        <v>2314.098388671875</v>
      </c>
      <c r="O514" s="77"/>
      <c r="P514" s="78"/>
      <c r="Q514" s="78"/>
      <c r="R514" s="90"/>
      <c r="S514" s="49">
        <v>0</v>
      </c>
      <c r="T514" s="49">
        <v>1</v>
      </c>
      <c r="U514" s="50">
        <v>0</v>
      </c>
      <c r="V514" s="50">
        <v>0.220416</v>
      </c>
      <c r="W514" s="51"/>
      <c r="X514" s="51"/>
      <c r="Y514" s="51"/>
      <c r="Z514" s="50"/>
      <c r="AA514" s="73">
        <v>514</v>
      </c>
      <c r="AB514" s="73"/>
      <c r="AC514" s="74"/>
      <c r="AD514" s="81" t="s">
        <v>2938</v>
      </c>
      <c r="AE514" s="81"/>
      <c r="AF514" s="81"/>
      <c r="AG514" s="81"/>
      <c r="AH514" s="81"/>
      <c r="AI514" s="81" t="s">
        <v>2172</v>
      </c>
      <c r="AJ514" s="88">
        <v>43961.47574074074</v>
      </c>
      <c r="AK514" s="86" t="str">
        <f>HYPERLINK("https://yt3.ggpht.com/ytc/AIf8zZRFbjVAM8XN3kXr95CbJXmEr-brYoeze98Jo5xFp2OLSFsfjh-0reNrjj-dKA89=s88-c-k-c0x00ffffff-no-rj")</f>
        <v>https://yt3.ggpht.com/ytc/AIf8zZRFbjVAM8XN3kXr95CbJXmEr-brYoeze98Jo5xFp2OLSFsfjh-0reNrjj-dKA89=s88-c-k-c0x00ffffff-no-rj</v>
      </c>
      <c r="AL514" s="81">
        <v>0</v>
      </c>
      <c r="AM514" s="81">
        <v>0</v>
      </c>
      <c r="AN514" s="81">
        <v>0</v>
      </c>
      <c r="AO514" s="81" t="b">
        <v>0</v>
      </c>
      <c r="AP514" s="81">
        <v>0</v>
      </c>
      <c r="AQ514" s="81"/>
      <c r="AR514" s="81"/>
      <c r="AS514" s="81" t="s">
        <v>3378</v>
      </c>
      <c r="AT514" s="86" t="str">
        <f>HYPERLINK("https://www.youtube.com/channel/UCbtWbnuwj8wJGfyVKZFvkQQ")</f>
        <v>https://www.youtube.com/channel/UCbtWbnuwj8wJGfyVKZFvkQQ</v>
      </c>
      <c r="AU514" s="81" t="str">
        <f>REPLACE(INDEX(GroupVertices[Group],MATCH("~"&amp;Vertices[[#This Row],[Vertex]],GroupVertices[Vertex],0)),1,1,"")</f>
        <v>2</v>
      </c>
      <c r="AV514" s="49"/>
      <c r="AW514" s="49"/>
      <c r="AX514" s="49"/>
      <c r="AY514" s="49"/>
      <c r="AZ514" s="49"/>
      <c r="BA514" s="49"/>
      <c r="BB514" s="117" t="s">
        <v>4176</v>
      </c>
      <c r="BC514" s="117" t="s">
        <v>4176</v>
      </c>
      <c r="BD514" s="117" t="s">
        <v>4862</v>
      </c>
      <c r="BE514" s="117" t="s">
        <v>4862</v>
      </c>
      <c r="BF514" s="2"/>
      <c r="BG514" s="3"/>
      <c r="BH514" s="3"/>
      <c r="BI514" s="3"/>
      <c r="BJ514" s="3"/>
    </row>
    <row r="515" spans="1:62" ht="15">
      <c r="A515" s="66" t="s">
        <v>707</v>
      </c>
      <c r="B515" s="67"/>
      <c r="C515" s="67"/>
      <c r="D515" s="68">
        <v>50</v>
      </c>
      <c r="E515" s="70"/>
      <c r="F515" s="105" t="str">
        <f>HYPERLINK("https://yt3.ggpht.com/ytc/AIf8zZRH4hWRCI7sJukVFL_FtLrPA_VgTBPriL_JO2po=s88-c-k-c0x00ffffff-no-rj")</f>
        <v>https://yt3.ggpht.com/ytc/AIf8zZRH4hWRCI7sJukVFL_FtLrPA_VgTBPriL_JO2po=s88-c-k-c0x00ffffff-no-rj</v>
      </c>
      <c r="G515" s="67"/>
      <c r="H515" s="71" t="s">
        <v>2939</v>
      </c>
      <c r="I515" s="72"/>
      <c r="J515" s="72" t="s">
        <v>159</v>
      </c>
      <c r="K515" s="71" t="s">
        <v>2939</v>
      </c>
      <c r="L515" s="75">
        <v>1</v>
      </c>
      <c r="M515" s="76">
        <v>1826.12060546875</v>
      </c>
      <c r="N515" s="76">
        <v>3581.958740234375</v>
      </c>
      <c r="O515" s="77"/>
      <c r="P515" s="78"/>
      <c r="Q515" s="78"/>
      <c r="R515" s="90"/>
      <c r="S515" s="49">
        <v>0</v>
      </c>
      <c r="T515" s="49">
        <v>1</v>
      </c>
      <c r="U515" s="50">
        <v>0</v>
      </c>
      <c r="V515" s="50">
        <v>0.220416</v>
      </c>
      <c r="W515" s="51"/>
      <c r="X515" s="51"/>
      <c r="Y515" s="51"/>
      <c r="Z515" s="50"/>
      <c r="AA515" s="73">
        <v>515</v>
      </c>
      <c r="AB515" s="73"/>
      <c r="AC515" s="74"/>
      <c r="AD515" s="81" t="s">
        <v>2939</v>
      </c>
      <c r="AE515" s="81"/>
      <c r="AF515" s="81"/>
      <c r="AG515" s="81"/>
      <c r="AH515" s="81"/>
      <c r="AI515" s="81" t="s">
        <v>3337</v>
      </c>
      <c r="AJ515" s="88">
        <v>41134.17181712963</v>
      </c>
      <c r="AK515" s="86" t="str">
        <f>HYPERLINK("https://yt3.ggpht.com/ytc/AIf8zZRH4hWRCI7sJukVFL_FtLrPA_VgTBPriL_JO2po=s88-c-k-c0x00ffffff-no-rj")</f>
        <v>https://yt3.ggpht.com/ytc/AIf8zZRH4hWRCI7sJukVFL_FtLrPA_VgTBPriL_JO2po=s88-c-k-c0x00ffffff-no-rj</v>
      </c>
      <c r="AL515" s="81">
        <v>0</v>
      </c>
      <c r="AM515" s="81">
        <v>0</v>
      </c>
      <c r="AN515" s="81">
        <v>0</v>
      </c>
      <c r="AO515" s="81" t="b">
        <v>0</v>
      </c>
      <c r="AP515" s="81">
        <v>0</v>
      </c>
      <c r="AQ515" s="81"/>
      <c r="AR515" s="81"/>
      <c r="AS515" s="81" t="s">
        <v>3378</v>
      </c>
      <c r="AT515" s="86" t="str">
        <f>HYPERLINK("https://www.youtube.com/channel/UCrGqEZjEqwi3q87eokygrTw")</f>
        <v>https://www.youtube.com/channel/UCrGqEZjEqwi3q87eokygrTw</v>
      </c>
      <c r="AU515" s="81" t="str">
        <f>REPLACE(INDEX(GroupVertices[Group],MATCH("~"&amp;Vertices[[#This Row],[Vertex]],GroupVertices[Vertex],0)),1,1,"")</f>
        <v>2</v>
      </c>
      <c r="AV515" s="49"/>
      <c r="AW515" s="49"/>
      <c r="AX515" s="49"/>
      <c r="AY515" s="49"/>
      <c r="AZ515" s="49"/>
      <c r="BA515" s="49"/>
      <c r="BB515" s="117" t="s">
        <v>4177</v>
      </c>
      <c r="BC515" s="117" t="s">
        <v>4177</v>
      </c>
      <c r="BD515" s="117" t="s">
        <v>4863</v>
      </c>
      <c r="BE515" s="117" t="s">
        <v>4863</v>
      </c>
      <c r="BF515" s="2"/>
      <c r="BG515" s="3"/>
      <c r="BH515" s="3"/>
      <c r="BI515" s="3"/>
      <c r="BJ515" s="3"/>
    </row>
    <row r="516" spans="1:62" ht="15">
      <c r="A516" s="66" t="s">
        <v>708</v>
      </c>
      <c r="B516" s="67"/>
      <c r="C516" s="67"/>
      <c r="D516" s="68">
        <v>50</v>
      </c>
      <c r="E516" s="70"/>
      <c r="F516" s="105" t="str">
        <f>HYPERLINK("https://yt3.ggpht.com/ytc/AIf8zZRUdDFgI6MjIglg_svQNNPrkX_kfIe4F9J4jw=s88-c-k-c0x00ffffff-no-rj")</f>
        <v>https://yt3.ggpht.com/ytc/AIf8zZRUdDFgI6MjIglg_svQNNPrkX_kfIe4F9J4jw=s88-c-k-c0x00ffffff-no-rj</v>
      </c>
      <c r="G516" s="67"/>
      <c r="H516" s="71" t="s">
        <v>2940</v>
      </c>
      <c r="I516" s="72"/>
      <c r="J516" s="72" t="s">
        <v>159</v>
      </c>
      <c r="K516" s="71" t="s">
        <v>2940</v>
      </c>
      <c r="L516" s="75">
        <v>1</v>
      </c>
      <c r="M516" s="76">
        <v>1981.8436279296875</v>
      </c>
      <c r="N516" s="76">
        <v>781.1644287109375</v>
      </c>
      <c r="O516" s="77"/>
      <c r="P516" s="78"/>
      <c r="Q516" s="78"/>
      <c r="R516" s="90"/>
      <c r="S516" s="49">
        <v>0</v>
      </c>
      <c r="T516" s="49">
        <v>1</v>
      </c>
      <c r="U516" s="50">
        <v>0</v>
      </c>
      <c r="V516" s="50">
        <v>0.220416</v>
      </c>
      <c r="W516" s="51"/>
      <c r="X516" s="51"/>
      <c r="Y516" s="51"/>
      <c r="Z516" s="50"/>
      <c r="AA516" s="73">
        <v>516</v>
      </c>
      <c r="AB516" s="73"/>
      <c r="AC516" s="74"/>
      <c r="AD516" s="81" t="s">
        <v>2940</v>
      </c>
      <c r="AE516" s="81"/>
      <c r="AF516" s="81"/>
      <c r="AG516" s="81"/>
      <c r="AH516" s="81"/>
      <c r="AI516" s="81" t="s">
        <v>3338</v>
      </c>
      <c r="AJ516" s="88">
        <v>41002.51462962963</v>
      </c>
      <c r="AK516" s="86" t="str">
        <f>HYPERLINK("https://yt3.ggpht.com/ytc/AIf8zZRUdDFgI6MjIglg_svQNNPrkX_kfIe4F9J4jw=s88-c-k-c0x00ffffff-no-rj")</f>
        <v>https://yt3.ggpht.com/ytc/AIf8zZRUdDFgI6MjIglg_svQNNPrkX_kfIe4F9J4jw=s88-c-k-c0x00ffffff-no-rj</v>
      </c>
      <c r="AL516" s="81">
        <v>0</v>
      </c>
      <c r="AM516" s="81">
        <v>0</v>
      </c>
      <c r="AN516" s="81">
        <v>4</v>
      </c>
      <c r="AO516" s="81" t="b">
        <v>0</v>
      </c>
      <c r="AP516" s="81">
        <v>0</v>
      </c>
      <c r="AQ516" s="81"/>
      <c r="AR516" s="81"/>
      <c r="AS516" s="81" t="s">
        <v>3378</v>
      </c>
      <c r="AT516" s="86" t="str">
        <f>HYPERLINK("https://www.youtube.com/channel/UCJLZIBSM0wOz2jdSdUhV31g")</f>
        <v>https://www.youtube.com/channel/UCJLZIBSM0wOz2jdSdUhV31g</v>
      </c>
      <c r="AU516" s="81" t="str">
        <f>REPLACE(INDEX(GroupVertices[Group],MATCH("~"&amp;Vertices[[#This Row],[Vertex]],GroupVertices[Vertex],0)),1,1,"")</f>
        <v>2</v>
      </c>
      <c r="AV516" s="49"/>
      <c r="AW516" s="49"/>
      <c r="AX516" s="49"/>
      <c r="AY516" s="49"/>
      <c r="AZ516" s="49"/>
      <c r="BA516" s="49"/>
      <c r="BB516" s="117" t="s">
        <v>4178</v>
      </c>
      <c r="BC516" s="117" t="s">
        <v>4178</v>
      </c>
      <c r="BD516" s="117" t="s">
        <v>4864</v>
      </c>
      <c r="BE516" s="117" t="s">
        <v>4864</v>
      </c>
      <c r="BF516" s="2"/>
      <c r="BG516" s="3"/>
      <c r="BH516" s="3"/>
      <c r="BI516" s="3"/>
      <c r="BJ516" s="3"/>
    </row>
    <row r="517" spans="1:62" ht="15">
      <c r="A517" s="66" t="s">
        <v>709</v>
      </c>
      <c r="B517" s="67"/>
      <c r="C517" s="67"/>
      <c r="D517" s="68">
        <v>50</v>
      </c>
      <c r="E517" s="70"/>
      <c r="F517" s="105" t="str">
        <f>HYPERLINK("https://yt3.ggpht.com/awCSJnotF2ftIWcem8h3GYafK0yh5dvvNmIOksKKu09W0QuUlbmoTvDy5BqEENDMiIBajji3Ag0=s88-c-k-c0x00ffffff-no-rj")</f>
        <v>https://yt3.ggpht.com/awCSJnotF2ftIWcem8h3GYafK0yh5dvvNmIOksKKu09W0QuUlbmoTvDy5BqEENDMiIBajji3Ag0=s88-c-k-c0x00ffffff-no-rj</v>
      </c>
      <c r="G517" s="67"/>
      <c r="H517" s="71" t="s">
        <v>2941</v>
      </c>
      <c r="I517" s="72"/>
      <c r="J517" s="72" t="s">
        <v>159</v>
      </c>
      <c r="K517" s="71" t="s">
        <v>2941</v>
      </c>
      <c r="L517" s="75">
        <v>1</v>
      </c>
      <c r="M517" s="76">
        <v>2151.31396484375</v>
      </c>
      <c r="N517" s="76">
        <v>162.43124389648438</v>
      </c>
      <c r="O517" s="77"/>
      <c r="P517" s="78"/>
      <c r="Q517" s="78"/>
      <c r="R517" s="90"/>
      <c r="S517" s="49">
        <v>0</v>
      </c>
      <c r="T517" s="49">
        <v>1</v>
      </c>
      <c r="U517" s="50">
        <v>0</v>
      </c>
      <c r="V517" s="50">
        <v>0.220416</v>
      </c>
      <c r="W517" s="51"/>
      <c r="X517" s="51"/>
      <c r="Y517" s="51"/>
      <c r="Z517" s="50"/>
      <c r="AA517" s="73">
        <v>517</v>
      </c>
      <c r="AB517" s="73"/>
      <c r="AC517" s="74"/>
      <c r="AD517" s="81" t="s">
        <v>2941</v>
      </c>
      <c r="AE517" s="81"/>
      <c r="AF517" s="81"/>
      <c r="AG517" s="81"/>
      <c r="AH517" s="81"/>
      <c r="AI517" s="81" t="s">
        <v>2175</v>
      </c>
      <c r="AJ517" s="88">
        <v>39819.24979166667</v>
      </c>
      <c r="AK517" s="86" t="str">
        <f>HYPERLINK("https://yt3.ggpht.com/awCSJnotF2ftIWcem8h3GYafK0yh5dvvNmIOksKKu09W0QuUlbmoTvDy5BqEENDMiIBajji3Ag0=s88-c-k-c0x00ffffff-no-rj")</f>
        <v>https://yt3.ggpht.com/awCSJnotF2ftIWcem8h3GYafK0yh5dvvNmIOksKKu09W0QuUlbmoTvDy5BqEENDMiIBajji3Ag0=s88-c-k-c0x00ffffff-no-rj</v>
      </c>
      <c r="AL517" s="81">
        <v>0</v>
      </c>
      <c r="AM517" s="81">
        <v>0</v>
      </c>
      <c r="AN517" s="81">
        <v>0</v>
      </c>
      <c r="AO517" s="81" t="b">
        <v>0</v>
      </c>
      <c r="AP517" s="81">
        <v>0</v>
      </c>
      <c r="AQ517" s="81"/>
      <c r="AR517" s="81"/>
      <c r="AS517" s="81" t="s">
        <v>3378</v>
      </c>
      <c r="AT517" s="86" t="str">
        <f>HYPERLINK("https://www.youtube.com/channel/UC7bKpW_RfRCUpXfLXoP2WSw")</f>
        <v>https://www.youtube.com/channel/UC7bKpW_RfRCUpXfLXoP2WSw</v>
      </c>
      <c r="AU517" s="81" t="str">
        <f>REPLACE(INDEX(GroupVertices[Group],MATCH("~"&amp;Vertices[[#This Row],[Vertex]],GroupVertices[Vertex],0)),1,1,"")</f>
        <v>2</v>
      </c>
      <c r="AV517" s="49"/>
      <c r="AW517" s="49"/>
      <c r="AX517" s="49"/>
      <c r="AY517" s="49"/>
      <c r="AZ517" s="49"/>
      <c r="BA517" s="49"/>
      <c r="BB517" s="117" t="s">
        <v>4179</v>
      </c>
      <c r="BC517" s="117" t="s">
        <v>4179</v>
      </c>
      <c r="BD517" s="117" t="s">
        <v>4865</v>
      </c>
      <c r="BE517" s="117" t="s">
        <v>4865</v>
      </c>
      <c r="BF517" s="2"/>
      <c r="BG517" s="3"/>
      <c r="BH517" s="3"/>
      <c r="BI517" s="3"/>
      <c r="BJ517" s="3"/>
    </row>
    <row r="518" spans="1:62" ht="15">
      <c r="A518" s="66" t="s">
        <v>710</v>
      </c>
      <c r="B518" s="67"/>
      <c r="C518" s="67"/>
      <c r="D518" s="68">
        <v>50</v>
      </c>
      <c r="E518" s="70"/>
      <c r="F518" s="105" t="str">
        <f>HYPERLINK("https://yt3.ggpht.com/ytc/AIf8zZSlVuhRH3h5j0SMllWLTlAyUY3X8pihWUuUopwb=s88-c-k-c0x00ffffff-no-rj")</f>
        <v>https://yt3.ggpht.com/ytc/AIf8zZSlVuhRH3h5j0SMllWLTlAyUY3X8pihWUuUopwb=s88-c-k-c0x00ffffff-no-rj</v>
      </c>
      <c r="G518" s="67"/>
      <c r="H518" s="71" t="s">
        <v>2942</v>
      </c>
      <c r="I518" s="72"/>
      <c r="J518" s="72" t="s">
        <v>159</v>
      </c>
      <c r="K518" s="71" t="s">
        <v>2942</v>
      </c>
      <c r="L518" s="75">
        <v>1</v>
      </c>
      <c r="M518" s="76">
        <v>3004.71337890625</v>
      </c>
      <c r="N518" s="76">
        <v>855.95849609375</v>
      </c>
      <c r="O518" s="77"/>
      <c r="P518" s="78"/>
      <c r="Q518" s="78"/>
      <c r="R518" s="90"/>
      <c r="S518" s="49">
        <v>0</v>
      </c>
      <c r="T518" s="49">
        <v>1</v>
      </c>
      <c r="U518" s="50">
        <v>0</v>
      </c>
      <c r="V518" s="50">
        <v>0.220416</v>
      </c>
      <c r="W518" s="51"/>
      <c r="X518" s="51"/>
      <c r="Y518" s="51"/>
      <c r="Z518" s="50"/>
      <c r="AA518" s="73">
        <v>518</v>
      </c>
      <c r="AB518" s="73"/>
      <c r="AC518" s="74"/>
      <c r="AD518" s="81" t="s">
        <v>2942</v>
      </c>
      <c r="AE518" s="81" t="s">
        <v>3195</v>
      </c>
      <c r="AF518" s="81"/>
      <c r="AG518" s="81"/>
      <c r="AH518" s="81"/>
      <c r="AI518" s="81" t="s">
        <v>2176</v>
      </c>
      <c r="AJ518" s="88">
        <v>38959.06280092592</v>
      </c>
      <c r="AK518" s="86" t="str">
        <f>HYPERLINK("https://yt3.ggpht.com/ytc/AIf8zZSlVuhRH3h5j0SMllWLTlAyUY3X8pihWUuUopwb=s88-c-k-c0x00ffffff-no-rj")</f>
        <v>https://yt3.ggpht.com/ytc/AIf8zZSlVuhRH3h5j0SMllWLTlAyUY3X8pihWUuUopwb=s88-c-k-c0x00ffffff-no-rj</v>
      </c>
      <c r="AL518" s="81">
        <v>52423</v>
      </c>
      <c r="AM518" s="81">
        <v>0</v>
      </c>
      <c r="AN518" s="81">
        <v>111</v>
      </c>
      <c r="AO518" s="81" t="b">
        <v>0</v>
      </c>
      <c r="AP518" s="81">
        <v>281</v>
      </c>
      <c r="AQ518" s="81"/>
      <c r="AR518" s="81"/>
      <c r="AS518" s="81" t="s">
        <v>3378</v>
      </c>
      <c r="AT518" s="86" t="str">
        <f>HYPERLINK("https://www.youtube.com/channel/UCr1Byyao5_vJI9c9nBU6S_w")</f>
        <v>https://www.youtube.com/channel/UCr1Byyao5_vJI9c9nBU6S_w</v>
      </c>
      <c r="AU518" s="81" t="str">
        <f>REPLACE(INDEX(GroupVertices[Group],MATCH("~"&amp;Vertices[[#This Row],[Vertex]],GroupVertices[Vertex],0)),1,1,"")</f>
        <v>2</v>
      </c>
      <c r="AV518" s="49"/>
      <c r="AW518" s="49"/>
      <c r="AX518" s="49"/>
      <c r="AY518" s="49"/>
      <c r="AZ518" s="49"/>
      <c r="BA518" s="49"/>
      <c r="BB518" s="117" t="s">
        <v>4180</v>
      </c>
      <c r="BC518" s="117" t="s">
        <v>4180</v>
      </c>
      <c r="BD518" s="117" t="s">
        <v>4866</v>
      </c>
      <c r="BE518" s="117" t="s">
        <v>4866</v>
      </c>
      <c r="BF518" s="2"/>
      <c r="BG518" s="3"/>
      <c r="BH518" s="3"/>
      <c r="BI518" s="3"/>
      <c r="BJ518" s="3"/>
    </row>
    <row r="519" spans="1:62" ht="15">
      <c r="A519" s="66" t="s">
        <v>711</v>
      </c>
      <c r="B519" s="67"/>
      <c r="C519" s="67"/>
      <c r="D519" s="68">
        <v>50</v>
      </c>
      <c r="E519" s="70"/>
      <c r="F519" s="105" t="str">
        <f>HYPERLINK("https://yt3.ggpht.com/ytc/AIf8zZT6p7EvtBSfjPtsp2gm949WaSHG6BEk6pgKDB-IOw=s88-c-k-c0x00ffffff-no-rj")</f>
        <v>https://yt3.ggpht.com/ytc/AIf8zZT6p7EvtBSfjPtsp2gm949WaSHG6BEk6pgKDB-IOw=s88-c-k-c0x00ffffff-no-rj</v>
      </c>
      <c r="G519" s="67"/>
      <c r="H519" s="71" t="s">
        <v>2943</v>
      </c>
      <c r="I519" s="72"/>
      <c r="J519" s="72" t="s">
        <v>159</v>
      </c>
      <c r="K519" s="71" t="s">
        <v>2943</v>
      </c>
      <c r="L519" s="75">
        <v>1</v>
      </c>
      <c r="M519" s="76">
        <v>737.7667236328125</v>
      </c>
      <c r="N519" s="76">
        <v>980.5386962890625</v>
      </c>
      <c r="O519" s="77"/>
      <c r="P519" s="78"/>
      <c r="Q519" s="78"/>
      <c r="R519" s="90"/>
      <c r="S519" s="49">
        <v>0</v>
      </c>
      <c r="T519" s="49">
        <v>1</v>
      </c>
      <c r="U519" s="50">
        <v>0</v>
      </c>
      <c r="V519" s="50">
        <v>0.220416</v>
      </c>
      <c r="W519" s="51"/>
      <c r="X519" s="51"/>
      <c r="Y519" s="51"/>
      <c r="Z519" s="50"/>
      <c r="AA519" s="73">
        <v>519</v>
      </c>
      <c r="AB519" s="73"/>
      <c r="AC519" s="74"/>
      <c r="AD519" s="81" t="s">
        <v>2943</v>
      </c>
      <c r="AE519" s="81"/>
      <c r="AF519" s="81"/>
      <c r="AG519" s="81"/>
      <c r="AH519" s="81"/>
      <c r="AI519" s="81" t="s">
        <v>2177</v>
      </c>
      <c r="AJ519" s="88">
        <v>39414.849270833336</v>
      </c>
      <c r="AK519" s="86" t="str">
        <f>HYPERLINK("https://yt3.ggpht.com/ytc/AIf8zZT6p7EvtBSfjPtsp2gm949WaSHG6BEk6pgKDB-IOw=s88-c-k-c0x00ffffff-no-rj")</f>
        <v>https://yt3.ggpht.com/ytc/AIf8zZT6p7EvtBSfjPtsp2gm949WaSHG6BEk6pgKDB-IOw=s88-c-k-c0x00ffffff-no-rj</v>
      </c>
      <c r="AL519" s="81">
        <v>96</v>
      </c>
      <c r="AM519" s="81">
        <v>0</v>
      </c>
      <c r="AN519" s="81">
        <v>1</v>
      </c>
      <c r="AO519" s="81" t="b">
        <v>0</v>
      </c>
      <c r="AP519" s="81">
        <v>4</v>
      </c>
      <c r="AQ519" s="81"/>
      <c r="AR519" s="81"/>
      <c r="AS519" s="81" t="s">
        <v>3378</v>
      </c>
      <c r="AT519" s="86" t="str">
        <f>HYPERLINK("https://www.youtube.com/channel/UCRHGZmpFp_KbuIJw4JNaeeQ")</f>
        <v>https://www.youtube.com/channel/UCRHGZmpFp_KbuIJw4JNaeeQ</v>
      </c>
      <c r="AU519" s="81" t="str">
        <f>REPLACE(INDEX(GroupVertices[Group],MATCH("~"&amp;Vertices[[#This Row],[Vertex]],GroupVertices[Vertex],0)),1,1,"")</f>
        <v>2</v>
      </c>
      <c r="AV519" s="49"/>
      <c r="AW519" s="49"/>
      <c r="AX519" s="49"/>
      <c r="AY519" s="49"/>
      <c r="AZ519" s="49"/>
      <c r="BA519" s="49"/>
      <c r="BB519" s="117" t="s">
        <v>4181</v>
      </c>
      <c r="BC519" s="117" t="s">
        <v>4181</v>
      </c>
      <c r="BD519" s="117" t="s">
        <v>4867</v>
      </c>
      <c r="BE519" s="117" t="s">
        <v>4867</v>
      </c>
      <c r="BF519" s="2"/>
      <c r="BG519" s="3"/>
      <c r="BH519" s="3"/>
      <c r="BI519" s="3"/>
      <c r="BJ519" s="3"/>
    </row>
    <row r="520" spans="1:62" ht="15">
      <c r="A520" s="66" t="s">
        <v>712</v>
      </c>
      <c r="B520" s="67"/>
      <c r="C520" s="67"/>
      <c r="D520" s="68">
        <v>50</v>
      </c>
      <c r="E520" s="70"/>
      <c r="F520" s="105" t="str">
        <f>HYPERLINK("https://yt3.ggpht.com/8c-vfI1QULTZCYb7kk1MosimP8oRCCdshRnso4qZHCJqjqthRAtXgf90FNEJjhexT0dVYg5aJX8=s88-c-k-c0x00ffffff-no-rj")</f>
        <v>https://yt3.ggpht.com/8c-vfI1QULTZCYb7kk1MosimP8oRCCdshRnso4qZHCJqjqthRAtXgf90FNEJjhexT0dVYg5aJX8=s88-c-k-c0x00ffffff-no-rj</v>
      </c>
      <c r="G520" s="67"/>
      <c r="H520" s="71" t="s">
        <v>2944</v>
      </c>
      <c r="I520" s="72"/>
      <c r="J520" s="72" t="s">
        <v>159</v>
      </c>
      <c r="K520" s="71" t="s">
        <v>2944</v>
      </c>
      <c r="L520" s="75">
        <v>1</v>
      </c>
      <c r="M520" s="76">
        <v>1477.8604736328125</v>
      </c>
      <c r="N520" s="76">
        <v>3359.427001953125</v>
      </c>
      <c r="O520" s="77"/>
      <c r="P520" s="78"/>
      <c r="Q520" s="78"/>
      <c r="R520" s="90"/>
      <c r="S520" s="49">
        <v>0</v>
      </c>
      <c r="T520" s="49">
        <v>1</v>
      </c>
      <c r="U520" s="50">
        <v>0</v>
      </c>
      <c r="V520" s="50">
        <v>0.220416</v>
      </c>
      <c r="W520" s="51"/>
      <c r="X520" s="51"/>
      <c r="Y520" s="51"/>
      <c r="Z520" s="50"/>
      <c r="AA520" s="73">
        <v>520</v>
      </c>
      <c r="AB520" s="73"/>
      <c r="AC520" s="74"/>
      <c r="AD520" s="81" t="s">
        <v>2944</v>
      </c>
      <c r="AE520" s="81" t="s">
        <v>3196</v>
      </c>
      <c r="AF520" s="81"/>
      <c r="AG520" s="81"/>
      <c r="AH520" s="81"/>
      <c r="AI520" s="81" t="s">
        <v>2178</v>
      </c>
      <c r="AJ520" s="88">
        <v>41447.352118055554</v>
      </c>
      <c r="AK520" s="86" t="str">
        <f>HYPERLINK("https://yt3.ggpht.com/8c-vfI1QULTZCYb7kk1MosimP8oRCCdshRnso4qZHCJqjqthRAtXgf90FNEJjhexT0dVYg5aJX8=s88-c-k-c0x00ffffff-no-rj")</f>
        <v>https://yt3.ggpht.com/8c-vfI1QULTZCYb7kk1MosimP8oRCCdshRnso4qZHCJqjqthRAtXgf90FNEJjhexT0dVYg5aJX8=s88-c-k-c0x00ffffff-no-rj</v>
      </c>
      <c r="AL520" s="81">
        <v>3779</v>
      </c>
      <c r="AM520" s="81">
        <v>0</v>
      </c>
      <c r="AN520" s="81">
        <v>1570</v>
      </c>
      <c r="AO520" s="81" t="b">
        <v>0</v>
      </c>
      <c r="AP520" s="81">
        <v>46</v>
      </c>
      <c r="AQ520" s="81"/>
      <c r="AR520" s="81"/>
      <c r="AS520" s="81" t="s">
        <v>3378</v>
      </c>
      <c r="AT520" s="86" t="str">
        <f>HYPERLINK("https://www.youtube.com/channel/UCpHYBnuR6gE7Fm7MFb61seA")</f>
        <v>https://www.youtube.com/channel/UCpHYBnuR6gE7Fm7MFb61seA</v>
      </c>
      <c r="AU520" s="81" t="str">
        <f>REPLACE(INDEX(GroupVertices[Group],MATCH("~"&amp;Vertices[[#This Row],[Vertex]],GroupVertices[Vertex],0)),1,1,"")</f>
        <v>2</v>
      </c>
      <c r="AV520" s="49"/>
      <c r="AW520" s="49"/>
      <c r="AX520" s="49"/>
      <c r="AY520" s="49"/>
      <c r="AZ520" s="49"/>
      <c r="BA520" s="49"/>
      <c r="BB520" s="117" t="s">
        <v>4182</v>
      </c>
      <c r="BC520" s="117" t="s">
        <v>4182</v>
      </c>
      <c r="BD520" s="117" t="s">
        <v>4868</v>
      </c>
      <c r="BE520" s="117" t="s">
        <v>4868</v>
      </c>
      <c r="BF520" s="2"/>
      <c r="BG520" s="3"/>
      <c r="BH520" s="3"/>
      <c r="BI520" s="3"/>
      <c r="BJ520" s="3"/>
    </row>
    <row r="521" spans="1:62" ht="15">
      <c r="A521" s="66" t="s">
        <v>713</v>
      </c>
      <c r="B521" s="67"/>
      <c r="C521" s="67"/>
      <c r="D521" s="68">
        <v>50</v>
      </c>
      <c r="E521" s="70"/>
      <c r="F521" s="105" t="str">
        <f>HYPERLINK("https://yt3.ggpht.com/1AdYcCnD-HRum8Ijel6k5K6vVddoE6sIHpsDfkKog-H8ehpIYyPGBXLCeRWTIgTxGP8quWgZBFg=s88-c-k-c0x00ffffff-no-rj")</f>
        <v>https://yt3.ggpht.com/1AdYcCnD-HRum8Ijel6k5K6vVddoE6sIHpsDfkKog-H8ehpIYyPGBXLCeRWTIgTxGP8quWgZBFg=s88-c-k-c0x00ffffff-no-rj</v>
      </c>
      <c r="G521" s="67"/>
      <c r="H521" s="71" t="s">
        <v>2945</v>
      </c>
      <c r="I521" s="72"/>
      <c r="J521" s="72" t="s">
        <v>159</v>
      </c>
      <c r="K521" s="71" t="s">
        <v>2945</v>
      </c>
      <c r="L521" s="75">
        <v>1</v>
      </c>
      <c r="M521" s="76">
        <v>2581.812744140625</v>
      </c>
      <c r="N521" s="76">
        <v>3449.757568359375</v>
      </c>
      <c r="O521" s="77"/>
      <c r="P521" s="78"/>
      <c r="Q521" s="78"/>
      <c r="R521" s="90"/>
      <c r="S521" s="49">
        <v>0</v>
      </c>
      <c r="T521" s="49">
        <v>1</v>
      </c>
      <c r="U521" s="50">
        <v>0</v>
      </c>
      <c r="V521" s="50">
        <v>0.220416</v>
      </c>
      <c r="W521" s="51"/>
      <c r="X521" s="51"/>
      <c r="Y521" s="51"/>
      <c r="Z521" s="50"/>
      <c r="AA521" s="73">
        <v>521</v>
      </c>
      <c r="AB521" s="73"/>
      <c r="AC521" s="74"/>
      <c r="AD521" s="81" t="s">
        <v>2945</v>
      </c>
      <c r="AE521" s="81" t="s">
        <v>3197</v>
      </c>
      <c r="AF521" s="81"/>
      <c r="AG521" s="81"/>
      <c r="AH521" s="81"/>
      <c r="AI521" s="81" t="s">
        <v>3339</v>
      </c>
      <c r="AJ521" s="88">
        <v>44819.86540509259</v>
      </c>
      <c r="AK521" s="86" t="str">
        <f>HYPERLINK("https://yt3.ggpht.com/1AdYcCnD-HRum8Ijel6k5K6vVddoE6sIHpsDfkKog-H8ehpIYyPGBXLCeRWTIgTxGP8quWgZBFg=s88-c-k-c0x00ffffff-no-rj")</f>
        <v>https://yt3.ggpht.com/1AdYcCnD-HRum8Ijel6k5K6vVddoE6sIHpsDfkKog-H8ehpIYyPGBXLCeRWTIgTxGP8quWgZBFg=s88-c-k-c0x00ffffff-no-rj</v>
      </c>
      <c r="AL521" s="81">
        <v>4621</v>
      </c>
      <c r="AM521" s="81">
        <v>0</v>
      </c>
      <c r="AN521" s="81">
        <v>528</v>
      </c>
      <c r="AO521" s="81" t="b">
        <v>0</v>
      </c>
      <c r="AP521" s="81">
        <v>93</v>
      </c>
      <c r="AQ521" s="81"/>
      <c r="AR521" s="81"/>
      <c r="AS521" s="81" t="s">
        <v>3378</v>
      </c>
      <c r="AT521" s="86" t="str">
        <f>HYPERLINK("https://www.youtube.com/channel/UCgNC8-Mzcm8hmqyXZ6a_yvg")</f>
        <v>https://www.youtube.com/channel/UCgNC8-Mzcm8hmqyXZ6a_yvg</v>
      </c>
      <c r="AU521" s="81" t="str">
        <f>REPLACE(INDEX(GroupVertices[Group],MATCH("~"&amp;Vertices[[#This Row],[Vertex]],GroupVertices[Vertex],0)),1,1,"")</f>
        <v>2</v>
      </c>
      <c r="AV521" s="49"/>
      <c r="AW521" s="49"/>
      <c r="AX521" s="49"/>
      <c r="AY521" s="49"/>
      <c r="AZ521" s="49"/>
      <c r="BA521" s="49"/>
      <c r="BB521" s="117" t="s">
        <v>4183</v>
      </c>
      <c r="BC521" s="117" t="s">
        <v>4183</v>
      </c>
      <c r="BD521" s="117" t="s">
        <v>4869</v>
      </c>
      <c r="BE521" s="117" t="s">
        <v>4869</v>
      </c>
      <c r="BF521" s="2"/>
      <c r="BG521" s="3"/>
      <c r="BH521" s="3"/>
      <c r="BI521" s="3"/>
      <c r="BJ521" s="3"/>
    </row>
    <row r="522" spans="1:62" ht="15">
      <c r="A522" s="66" t="s">
        <v>714</v>
      </c>
      <c r="B522" s="67"/>
      <c r="C522" s="67"/>
      <c r="D522" s="68">
        <v>50</v>
      </c>
      <c r="E522" s="70"/>
      <c r="F522" s="105" t="str">
        <f>HYPERLINK("https://yt3.ggpht.com/ytc/AIf8zZRssV2QySey3eAizyr9n2rsx-vLvtlJ1d3apA=s88-c-k-c0x00ffffff-no-rj")</f>
        <v>https://yt3.ggpht.com/ytc/AIf8zZRssV2QySey3eAizyr9n2rsx-vLvtlJ1d3apA=s88-c-k-c0x00ffffff-no-rj</v>
      </c>
      <c r="G522" s="67"/>
      <c r="H522" s="71" t="s">
        <v>2946</v>
      </c>
      <c r="I522" s="72"/>
      <c r="J522" s="72" t="s">
        <v>159</v>
      </c>
      <c r="K522" s="71" t="s">
        <v>2946</v>
      </c>
      <c r="L522" s="75">
        <v>1</v>
      </c>
      <c r="M522" s="76">
        <v>3217.79296875</v>
      </c>
      <c r="N522" s="76">
        <v>2590.7763671875</v>
      </c>
      <c r="O522" s="77"/>
      <c r="P522" s="78"/>
      <c r="Q522" s="78"/>
      <c r="R522" s="90"/>
      <c r="S522" s="49">
        <v>0</v>
      </c>
      <c r="T522" s="49">
        <v>1</v>
      </c>
      <c r="U522" s="50">
        <v>0</v>
      </c>
      <c r="V522" s="50">
        <v>0.220416</v>
      </c>
      <c r="W522" s="51"/>
      <c r="X522" s="51"/>
      <c r="Y522" s="51"/>
      <c r="Z522" s="50"/>
      <c r="AA522" s="73">
        <v>522</v>
      </c>
      <c r="AB522" s="73"/>
      <c r="AC522" s="74"/>
      <c r="AD522" s="81" t="s">
        <v>2946</v>
      </c>
      <c r="AE522" s="81"/>
      <c r="AF522" s="81"/>
      <c r="AG522" s="81"/>
      <c r="AH522" s="81"/>
      <c r="AI522" s="81" t="s">
        <v>2180</v>
      </c>
      <c r="AJ522" s="88">
        <v>41168.00274305556</v>
      </c>
      <c r="AK522" s="86" t="str">
        <f>HYPERLINK("https://yt3.ggpht.com/ytc/AIf8zZRssV2QySey3eAizyr9n2rsx-vLvtlJ1d3apA=s88-c-k-c0x00ffffff-no-rj")</f>
        <v>https://yt3.ggpht.com/ytc/AIf8zZRssV2QySey3eAizyr9n2rsx-vLvtlJ1d3apA=s88-c-k-c0x00ffffff-no-rj</v>
      </c>
      <c r="AL522" s="81">
        <v>0</v>
      </c>
      <c r="AM522" s="81">
        <v>0</v>
      </c>
      <c r="AN522" s="81">
        <v>0</v>
      </c>
      <c r="AO522" s="81" t="b">
        <v>0</v>
      </c>
      <c r="AP522" s="81">
        <v>0</v>
      </c>
      <c r="AQ522" s="81"/>
      <c r="AR522" s="81"/>
      <c r="AS522" s="81" t="s">
        <v>3378</v>
      </c>
      <c r="AT522" s="86" t="str">
        <f>HYPERLINK("https://www.youtube.com/channel/UCQ88j29qn61pMcOWG5aAwkQ")</f>
        <v>https://www.youtube.com/channel/UCQ88j29qn61pMcOWG5aAwkQ</v>
      </c>
      <c r="AU522" s="81" t="str">
        <f>REPLACE(INDEX(GroupVertices[Group],MATCH("~"&amp;Vertices[[#This Row],[Vertex]],GroupVertices[Vertex],0)),1,1,"")</f>
        <v>2</v>
      </c>
      <c r="AV522" s="49"/>
      <c r="AW522" s="49"/>
      <c r="AX522" s="49"/>
      <c r="AY522" s="49"/>
      <c r="AZ522" s="49"/>
      <c r="BA522" s="49"/>
      <c r="BB522" s="117" t="s">
        <v>4184</v>
      </c>
      <c r="BC522" s="117" t="s">
        <v>4184</v>
      </c>
      <c r="BD522" s="117" t="s">
        <v>4870</v>
      </c>
      <c r="BE522" s="117" t="s">
        <v>4870</v>
      </c>
      <c r="BF522" s="2"/>
      <c r="BG522" s="3"/>
      <c r="BH522" s="3"/>
      <c r="BI522" s="3"/>
      <c r="BJ522" s="3"/>
    </row>
    <row r="523" spans="1:62" ht="15">
      <c r="A523" s="66" t="s">
        <v>715</v>
      </c>
      <c r="B523" s="67"/>
      <c r="C523" s="67"/>
      <c r="D523" s="68">
        <v>50</v>
      </c>
      <c r="E523" s="70"/>
      <c r="F523" s="105" t="str">
        <f>HYPERLINK("https://yt3.ggpht.com/ytc/AIf8zZSYLrHjI_QnQNWGwP2J_R7S9-gBVR4H3p4C=s88-c-k-c0x00ffffff-no-rj")</f>
        <v>https://yt3.ggpht.com/ytc/AIf8zZSYLrHjI_QnQNWGwP2J_R7S9-gBVR4H3p4C=s88-c-k-c0x00ffffff-no-rj</v>
      </c>
      <c r="G523" s="67"/>
      <c r="H523" s="71" t="s">
        <v>2947</v>
      </c>
      <c r="I523" s="72"/>
      <c r="J523" s="72" t="s">
        <v>159</v>
      </c>
      <c r="K523" s="71" t="s">
        <v>2947</v>
      </c>
      <c r="L523" s="75">
        <v>1</v>
      </c>
      <c r="M523" s="76">
        <v>582.2448120117188</v>
      </c>
      <c r="N523" s="76">
        <v>3048.61279296875</v>
      </c>
      <c r="O523" s="77"/>
      <c r="P523" s="78"/>
      <c r="Q523" s="78"/>
      <c r="R523" s="90"/>
      <c r="S523" s="49">
        <v>0</v>
      </c>
      <c r="T523" s="49">
        <v>1</v>
      </c>
      <c r="U523" s="50">
        <v>0</v>
      </c>
      <c r="V523" s="50">
        <v>0.220416</v>
      </c>
      <c r="W523" s="51"/>
      <c r="X523" s="51"/>
      <c r="Y523" s="51"/>
      <c r="Z523" s="50"/>
      <c r="AA523" s="73">
        <v>523</v>
      </c>
      <c r="AB523" s="73"/>
      <c r="AC523" s="74"/>
      <c r="AD523" s="81" t="s">
        <v>2947</v>
      </c>
      <c r="AE523" s="81"/>
      <c r="AF523" s="81"/>
      <c r="AG523" s="81"/>
      <c r="AH523" s="81"/>
      <c r="AI523" s="81" t="s">
        <v>2181</v>
      </c>
      <c r="AJ523" s="88">
        <v>41209.572071759256</v>
      </c>
      <c r="AK523" s="86" t="str">
        <f>HYPERLINK("https://yt3.ggpht.com/ytc/AIf8zZSYLrHjI_QnQNWGwP2J_R7S9-gBVR4H3p4C=s88-c-k-c0x00ffffff-no-rj")</f>
        <v>https://yt3.ggpht.com/ytc/AIf8zZSYLrHjI_QnQNWGwP2J_R7S9-gBVR4H3p4C=s88-c-k-c0x00ffffff-no-rj</v>
      </c>
      <c r="AL523" s="81">
        <v>11200</v>
      </c>
      <c r="AM523" s="81">
        <v>0</v>
      </c>
      <c r="AN523" s="81">
        <v>58</v>
      </c>
      <c r="AO523" s="81" t="b">
        <v>0</v>
      </c>
      <c r="AP523" s="81">
        <v>30</v>
      </c>
      <c r="AQ523" s="81"/>
      <c r="AR523" s="81"/>
      <c r="AS523" s="81" t="s">
        <v>3378</v>
      </c>
      <c r="AT523" s="86" t="str">
        <f>HYPERLINK("https://www.youtube.com/channel/UCZ5H-Ryudp-1KT5pzzCM0uQ")</f>
        <v>https://www.youtube.com/channel/UCZ5H-Ryudp-1KT5pzzCM0uQ</v>
      </c>
      <c r="AU523" s="81" t="str">
        <f>REPLACE(INDEX(GroupVertices[Group],MATCH("~"&amp;Vertices[[#This Row],[Vertex]],GroupVertices[Vertex],0)),1,1,"")</f>
        <v>2</v>
      </c>
      <c r="AV523" s="49"/>
      <c r="AW523" s="49"/>
      <c r="AX523" s="49"/>
      <c r="AY523" s="49"/>
      <c r="AZ523" s="49"/>
      <c r="BA523" s="49"/>
      <c r="BB523" s="117" t="s">
        <v>4185</v>
      </c>
      <c r="BC523" s="117" t="s">
        <v>4185</v>
      </c>
      <c r="BD523" s="117" t="s">
        <v>4871</v>
      </c>
      <c r="BE523" s="117" t="s">
        <v>4871</v>
      </c>
      <c r="BF523" s="2"/>
      <c r="BG523" s="3"/>
      <c r="BH523" s="3"/>
      <c r="BI523" s="3"/>
      <c r="BJ523" s="3"/>
    </row>
    <row r="524" spans="1:62" ht="15">
      <c r="A524" s="66" t="s">
        <v>716</v>
      </c>
      <c r="B524" s="67"/>
      <c r="C524" s="67"/>
      <c r="D524" s="68">
        <v>50</v>
      </c>
      <c r="E524" s="70"/>
      <c r="F524" s="105" t="str">
        <f>HYPERLINK("https://yt3.ggpht.com/ytc/AIf8zZQgTGH2PZAVOl_ixTrexQYoG2B-ofrkkfuissVgmg2JlfL2jBThfvjewnmZxfye=s88-c-k-c0x00ffffff-no-rj")</f>
        <v>https://yt3.ggpht.com/ytc/AIf8zZQgTGH2PZAVOl_ixTrexQYoG2B-ofrkkfuissVgmg2JlfL2jBThfvjewnmZxfye=s88-c-k-c0x00ffffff-no-rj</v>
      </c>
      <c r="G524" s="67"/>
      <c r="H524" s="71" t="s">
        <v>2948</v>
      </c>
      <c r="I524" s="72"/>
      <c r="J524" s="72" t="s">
        <v>159</v>
      </c>
      <c r="K524" s="71" t="s">
        <v>2948</v>
      </c>
      <c r="L524" s="75">
        <v>1</v>
      </c>
      <c r="M524" s="76">
        <v>3552.343017578125</v>
      </c>
      <c r="N524" s="76">
        <v>1862.3294677734375</v>
      </c>
      <c r="O524" s="77"/>
      <c r="P524" s="78"/>
      <c r="Q524" s="78"/>
      <c r="R524" s="90"/>
      <c r="S524" s="49">
        <v>0</v>
      </c>
      <c r="T524" s="49">
        <v>1</v>
      </c>
      <c r="U524" s="50">
        <v>0</v>
      </c>
      <c r="V524" s="50">
        <v>0.220416</v>
      </c>
      <c r="W524" s="51"/>
      <c r="X524" s="51"/>
      <c r="Y524" s="51"/>
      <c r="Z524" s="50"/>
      <c r="AA524" s="73">
        <v>524</v>
      </c>
      <c r="AB524" s="73"/>
      <c r="AC524" s="74"/>
      <c r="AD524" s="81" t="s">
        <v>2948</v>
      </c>
      <c r="AE524" s="81"/>
      <c r="AF524" s="81"/>
      <c r="AG524" s="81"/>
      <c r="AH524" s="81"/>
      <c r="AI524" s="81" t="s">
        <v>2182</v>
      </c>
      <c r="AJ524" s="88">
        <v>44941.32776620371</v>
      </c>
      <c r="AK524" s="86" t="str">
        <f>HYPERLINK("https://yt3.ggpht.com/ytc/AIf8zZQgTGH2PZAVOl_ixTrexQYoG2B-ofrkkfuissVgmg2JlfL2jBThfvjewnmZxfye=s88-c-k-c0x00ffffff-no-rj")</f>
        <v>https://yt3.ggpht.com/ytc/AIf8zZQgTGH2PZAVOl_ixTrexQYoG2B-ofrkkfuissVgmg2JlfL2jBThfvjewnmZxfye=s88-c-k-c0x00ffffff-no-rj</v>
      </c>
      <c r="AL524" s="81">
        <v>0</v>
      </c>
      <c r="AM524" s="81">
        <v>0</v>
      </c>
      <c r="AN524" s="81">
        <v>0</v>
      </c>
      <c r="AO524" s="81" t="b">
        <v>0</v>
      </c>
      <c r="AP524" s="81">
        <v>0</v>
      </c>
      <c r="AQ524" s="81"/>
      <c r="AR524" s="81"/>
      <c r="AS524" s="81" t="s">
        <v>3378</v>
      </c>
      <c r="AT524" s="86" t="str">
        <f>HYPERLINK("https://www.youtube.com/channel/UC3vecQrCXGlbLOmtPBiDp0w")</f>
        <v>https://www.youtube.com/channel/UC3vecQrCXGlbLOmtPBiDp0w</v>
      </c>
      <c r="AU524" s="81" t="str">
        <f>REPLACE(INDEX(GroupVertices[Group],MATCH("~"&amp;Vertices[[#This Row],[Vertex]],GroupVertices[Vertex],0)),1,1,"")</f>
        <v>2</v>
      </c>
      <c r="AV524" s="49"/>
      <c r="AW524" s="49"/>
      <c r="AX524" s="49"/>
      <c r="AY524" s="49"/>
      <c r="AZ524" s="49"/>
      <c r="BA524" s="49"/>
      <c r="BB524" s="117" t="s">
        <v>4186</v>
      </c>
      <c r="BC524" s="117" t="s">
        <v>4186</v>
      </c>
      <c r="BD524" s="117" t="s">
        <v>4872</v>
      </c>
      <c r="BE524" s="117" t="s">
        <v>4872</v>
      </c>
      <c r="BF524" s="2"/>
      <c r="BG524" s="3"/>
      <c r="BH524" s="3"/>
      <c r="BI524" s="3"/>
      <c r="BJ524" s="3"/>
    </row>
    <row r="525" spans="1:62" ht="15">
      <c r="A525" s="66" t="s">
        <v>717</v>
      </c>
      <c r="B525" s="67"/>
      <c r="C525" s="67"/>
      <c r="D525" s="68">
        <v>50</v>
      </c>
      <c r="E525" s="70"/>
      <c r="F525" s="105" t="str">
        <f>HYPERLINK("https://yt3.ggpht.com/ytc/AIf8zZQ4t76KD-mF1jJpfOkE9j6ipxjVzQwHeYSI0g=s88-c-k-c0x00ffffff-no-rj")</f>
        <v>https://yt3.ggpht.com/ytc/AIf8zZQ4t76KD-mF1jJpfOkE9j6ipxjVzQwHeYSI0g=s88-c-k-c0x00ffffff-no-rj</v>
      </c>
      <c r="G525" s="67"/>
      <c r="H525" s="71" t="s">
        <v>2949</v>
      </c>
      <c r="I525" s="72"/>
      <c r="J525" s="72" t="s">
        <v>159</v>
      </c>
      <c r="K525" s="71" t="s">
        <v>2949</v>
      </c>
      <c r="L525" s="75">
        <v>1</v>
      </c>
      <c r="M525" s="76">
        <v>3456.6953125</v>
      </c>
      <c r="N525" s="76">
        <v>2775.834716796875</v>
      </c>
      <c r="O525" s="77"/>
      <c r="P525" s="78"/>
      <c r="Q525" s="78"/>
      <c r="R525" s="90"/>
      <c r="S525" s="49">
        <v>0</v>
      </c>
      <c r="T525" s="49">
        <v>1</v>
      </c>
      <c r="U525" s="50">
        <v>0</v>
      </c>
      <c r="V525" s="50">
        <v>0.220416</v>
      </c>
      <c r="W525" s="51"/>
      <c r="X525" s="51"/>
      <c r="Y525" s="51"/>
      <c r="Z525" s="50"/>
      <c r="AA525" s="73">
        <v>525</v>
      </c>
      <c r="AB525" s="73"/>
      <c r="AC525" s="74"/>
      <c r="AD525" s="81" t="s">
        <v>2949</v>
      </c>
      <c r="AE525" s="81"/>
      <c r="AF525" s="81"/>
      <c r="AG525" s="81"/>
      <c r="AH525" s="81"/>
      <c r="AI525" s="81" t="s">
        <v>2183</v>
      </c>
      <c r="AJ525" s="88">
        <v>41590.88912037037</v>
      </c>
      <c r="AK525" s="86" t="str">
        <f>HYPERLINK("https://yt3.ggpht.com/ytc/AIf8zZQ4t76KD-mF1jJpfOkE9j6ipxjVzQwHeYSI0g=s88-c-k-c0x00ffffff-no-rj")</f>
        <v>https://yt3.ggpht.com/ytc/AIf8zZQ4t76KD-mF1jJpfOkE9j6ipxjVzQwHeYSI0g=s88-c-k-c0x00ffffff-no-rj</v>
      </c>
      <c r="AL525" s="81">
        <v>0</v>
      </c>
      <c r="AM525" s="81">
        <v>0</v>
      </c>
      <c r="AN525" s="81">
        <v>0</v>
      </c>
      <c r="AO525" s="81" t="b">
        <v>0</v>
      </c>
      <c r="AP525" s="81">
        <v>0</v>
      </c>
      <c r="AQ525" s="81"/>
      <c r="AR525" s="81"/>
      <c r="AS525" s="81" t="s">
        <v>3378</v>
      </c>
      <c r="AT525" s="86" t="str">
        <f>HYPERLINK("https://www.youtube.com/channel/UCK67D_PUDf6n6eL_SL-dD7w")</f>
        <v>https://www.youtube.com/channel/UCK67D_PUDf6n6eL_SL-dD7w</v>
      </c>
      <c r="AU525" s="81" t="str">
        <f>REPLACE(INDEX(GroupVertices[Group],MATCH("~"&amp;Vertices[[#This Row],[Vertex]],GroupVertices[Vertex],0)),1,1,"")</f>
        <v>2</v>
      </c>
      <c r="AV525" s="49"/>
      <c r="AW525" s="49"/>
      <c r="AX525" s="49"/>
      <c r="AY525" s="49"/>
      <c r="AZ525" s="49"/>
      <c r="BA525" s="49"/>
      <c r="BB525" s="117" t="s">
        <v>4187</v>
      </c>
      <c r="BC525" s="117" t="s">
        <v>4187</v>
      </c>
      <c r="BD525" s="117" t="s">
        <v>4873</v>
      </c>
      <c r="BE525" s="117" t="s">
        <v>4873</v>
      </c>
      <c r="BF525" s="2"/>
      <c r="BG525" s="3"/>
      <c r="BH525" s="3"/>
      <c r="BI525" s="3"/>
      <c r="BJ525" s="3"/>
    </row>
    <row r="526" spans="1:62" ht="15">
      <c r="A526" s="66" t="s">
        <v>718</v>
      </c>
      <c r="B526" s="67"/>
      <c r="C526" s="67"/>
      <c r="D526" s="68">
        <v>50</v>
      </c>
      <c r="E526" s="70"/>
      <c r="F526" s="105" t="str">
        <f>HYPERLINK("https://yt3.ggpht.com/66jo1mtWmT_gwdb7BY0rEk98hsMY2QQxtWxxCrpOOXqgI8d3nnC4PqxQRwNqrKczGjEeTMd6eQQ=s88-c-k-c0x00ffffff-no-rj")</f>
        <v>https://yt3.ggpht.com/66jo1mtWmT_gwdb7BY0rEk98hsMY2QQxtWxxCrpOOXqgI8d3nnC4PqxQRwNqrKczGjEeTMd6eQQ=s88-c-k-c0x00ffffff-no-rj</v>
      </c>
      <c r="G526" s="67"/>
      <c r="H526" s="71" t="s">
        <v>2950</v>
      </c>
      <c r="I526" s="72"/>
      <c r="J526" s="72" t="s">
        <v>159</v>
      </c>
      <c r="K526" s="71" t="s">
        <v>2950</v>
      </c>
      <c r="L526" s="75">
        <v>1</v>
      </c>
      <c r="M526" s="76">
        <v>7035.11328125</v>
      </c>
      <c r="N526" s="76">
        <v>5055.4228515625</v>
      </c>
      <c r="O526" s="77"/>
      <c r="P526" s="78"/>
      <c r="Q526" s="78"/>
      <c r="R526" s="90"/>
      <c r="S526" s="49">
        <v>0</v>
      </c>
      <c r="T526" s="49">
        <v>1</v>
      </c>
      <c r="U526" s="50">
        <v>0</v>
      </c>
      <c r="V526" s="50">
        <v>0.20049</v>
      </c>
      <c r="W526" s="51"/>
      <c r="X526" s="51"/>
      <c r="Y526" s="51"/>
      <c r="Z526" s="50"/>
      <c r="AA526" s="73">
        <v>526</v>
      </c>
      <c r="AB526" s="73"/>
      <c r="AC526" s="74"/>
      <c r="AD526" s="81" t="s">
        <v>2950</v>
      </c>
      <c r="AE526" s="81"/>
      <c r="AF526" s="81"/>
      <c r="AG526" s="81"/>
      <c r="AH526" s="81"/>
      <c r="AI526" s="81" t="s">
        <v>2184</v>
      </c>
      <c r="AJ526" s="88">
        <v>45269.67909722222</v>
      </c>
      <c r="AK526" s="86" t="str">
        <f>HYPERLINK("https://yt3.ggpht.com/66jo1mtWmT_gwdb7BY0rEk98hsMY2QQxtWxxCrpOOXqgI8d3nnC4PqxQRwNqrKczGjEeTMd6eQQ=s88-c-k-c0x00ffffff-no-rj")</f>
        <v>https://yt3.ggpht.com/66jo1mtWmT_gwdb7BY0rEk98hsMY2QQxtWxxCrpOOXqgI8d3nnC4PqxQRwNqrKczGjEeTMd6eQQ=s88-c-k-c0x00ffffff-no-rj</v>
      </c>
      <c r="AL526" s="81">
        <v>0</v>
      </c>
      <c r="AM526" s="81">
        <v>0</v>
      </c>
      <c r="AN526" s="81">
        <v>0</v>
      </c>
      <c r="AO526" s="81" t="b">
        <v>0</v>
      </c>
      <c r="AP526" s="81">
        <v>0</v>
      </c>
      <c r="AQ526" s="81"/>
      <c r="AR526" s="81"/>
      <c r="AS526" s="81" t="s">
        <v>3378</v>
      </c>
      <c r="AT526" s="86" t="str">
        <f>HYPERLINK("https://www.youtube.com/channel/UCClOVIUJQLaV2eORUThj9Kg")</f>
        <v>https://www.youtube.com/channel/UCClOVIUJQLaV2eORUThj9Kg</v>
      </c>
      <c r="AU526" s="81" t="str">
        <f>REPLACE(INDEX(GroupVertices[Group],MATCH("~"&amp;Vertices[[#This Row],[Vertex]],GroupVertices[Vertex],0)),1,1,"")</f>
        <v>5</v>
      </c>
      <c r="AV526" s="49"/>
      <c r="AW526" s="49"/>
      <c r="AX526" s="49"/>
      <c r="AY526" s="49"/>
      <c r="AZ526" s="49"/>
      <c r="BA526" s="49"/>
      <c r="BB526" s="117" t="s">
        <v>4188</v>
      </c>
      <c r="BC526" s="117" t="s">
        <v>4188</v>
      </c>
      <c r="BD526" s="117" t="s">
        <v>4874</v>
      </c>
      <c r="BE526" s="117" t="s">
        <v>4874</v>
      </c>
      <c r="BF526" s="2"/>
      <c r="BG526" s="3"/>
      <c r="BH526" s="3"/>
      <c r="BI526" s="3"/>
      <c r="BJ526" s="3"/>
    </row>
    <row r="527" spans="1:62" ht="15">
      <c r="A527" s="66" t="s">
        <v>719</v>
      </c>
      <c r="B527" s="67"/>
      <c r="C527" s="67"/>
      <c r="D527" s="68">
        <v>50</v>
      </c>
      <c r="E527" s="70"/>
      <c r="F527" s="105" t="str">
        <f>HYPERLINK("https://yt3.ggpht.com/ytc/AIf8zZRLmNZIiMcesCKzqZxiA0fXvRmOog0j8bO76mNiw4gThqM1qFdjw0zqEy-ydcZ8=s88-c-k-c0x00ffffff-no-rj")</f>
        <v>https://yt3.ggpht.com/ytc/AIf8zZRLmNZIiMcesCKzqZxiA0fXvRmOog0j8bO76mNiw4gThqM1qFdjw0zqEy-ydcZ8=s88-c-k-c0x00ffffff-no-rj</v>
      </c>
      <c r="G527" s="67"/>
      <c r="H527" s="71" t="s">
        <v>2952</v>
      </c>
      <c r="I527" s="72"/>
      <c r="J527" s="72" t="s">
        <v>159</v>
      </c>
      <c r="K527" s="71" t="s">
        <v>2952</v>
      </c>
      <c r="L527" s="75">
        <v>1</v>
      </c>
      <c r="M527" s="76">
        <v>7023.212890625</v>
      </c>
      <c r="N527" s="76">
        <v>603.5587158203125</v>
      </c>
      <c r="O527" s="77"/>
      <c r="P527" s="78"/>
      <c r="Q527" s="78"/>
      <c r="R527" s="90"/>
      <c r="S527" s="49">
        <v>0</v>
      </c>
      <c r="T527" s="49">
        <v>1</v>
      </c>
      <c r="U527" s="50">
        <v>0</v>
      </c>
      <c r="V527" s="50">
        <v>0.20049</v>
      </c>
      <c r="W527" s="51"/>
      <c r="X527" s="51"/>
      <c r="Y527" s="51"/>
      <c r="Z527" s="50"/>
      <c r="AA527" s="73">
        <v>527</v>
      </c>
      <c r="AB527" s="73"/>
      <c r="AC527" s="74"/>
      <c r="AD527" s="81" t="s">
        <v>2952</v>
      </c>
      <c r="AE527" s="81"/>
      <c r="AF527" s="81"/>
      <c r="AG527" s="81"/>
      <c r="AH527" s="81"/>
      <c r="AI527" s="81" t="s">
        <v>2185</v>
      </c>
      <c r="AJ527" s="88">
        <v>45196.593564814815</v>
      </c>
      <c r="AK527" s="86" t="str">
        <f>HYPERLINK("https://yt3.ggpht.com/ytc/AIf8zZRLmNZIiMcesCKzqZxiA0fXvRmOog0j8bO76mNiw4gThqM1qFdjw0zqEy-ydcZ8=s88-c-k-c0x00ffffff-no-rj")</f>
        <v>https://yt3.ggpht.com/ytc/AIf8zZRLmNZIiMcesCKzqZxiA0fXvRmOog0j8bO76mNiw4gThqM1qFdjw0zqEy-ydcZ8=s88-c-k-c0x00ffffff-no-rj</v>
      </c>
      <c r="AL527" s="81">
        <v>0</v>
      </c>
      <c r="AM527" s="81">
        <v>0</v>
      </c>
      <c r="AN527" s="81">
        <v>0</v>
      </c>
      <c r="AO527" s="81" t="b">
        <v>0</v>
      </c>
      <c r="AP527" s="81">
        <v>0</v>
      </c>
      <c r="AQ527" s="81"/>
      <c r="AR527" s="81"/>
      <c r="AS527" s="81" t="s">
        <v>3378</v>
      </c>
      <c r="AT527" s="86" t="str">
        <f>HYPERLINK("https://www.youtube.com/channel/UCaQFmitTZ5Pf_S-Oq02pvtg")</f>
        <v>https://www.youtube.com/channel/UCaQFmitTZ5Pf_S-Oq02pvtg</v>
      </c>
      <c r="AU527" s="81" t="str">
        <f>REPLACE(INDEX(GroupVertices[Group],MATCH("~"&amp;Vertices[[#This Row],[Vertex]],GroupVertices[Vertex],0)),1,1,"")</f>
        <v>5</v>
      </c>
      <c r="AV527" s="49"/>
      <c r="AW527" s="49"/>
      <c r="AX527" s="49"/>
      <c r="AY527" s="49"/>
      <c r="AZ527" s="49"/>
      <c r="BA527" s="49"/>
      <c r="BB527" s="117" t="s">
        <v>3925</v>
      </c>
      <c r="BC527" s="117" t="s">
        <v>3925</v>
      </c>
      <c r="BD527" s="117" t="s">
        <v>2423</v>
      </c>
      <c r="BE527" s="117" t="s">
        <v>2423</v>
      </c>
      <c r="BF527" s="2"/>
      <c r="BG527" s="3"/>
      <c r="BH527" s="3"/>
      <c r="BI527" s="3"/>
      <c r="BJ527" s="3"/>
    </row>
    <row r="528" spans="1:62" ht="15">
      <c r="A528" s="66" t="s">
        <v>720</v>
      </c>
      <c r="B528" s="67"/>
      <c r="C528" s="67"/>
      <c r="D528" s="68">
        <v>50</v>
      </c>
      <c r="E528" s="70"/>
      <c r="F528" s="105" t="str">
        <f>HYPERLINK("https://yt3.ggpht.com/NV2QOLkWZx5fz5J_f90-hp2nIaWfD7XGWRAQ7dYX1O7utswJdSDi9A70tJmJYIfLNBr5T0Ph=s88-c-k-c0x00ffffff-no-rj")</f>
        <v>https://yt3.ggpht.com/NV2QOLkWZx5fz5J_f90-hp2nIaWfD7XGWRAQ7dYX1O7utswJdSDi9A70tJmJYIfLNBr5T0Ph=s88-c-k-c0x00ffffff-no-rj</v>
      </c>
      <c r="G528" s="67"/>
      <c r="H528" s="71" t="s">
        <v>2953</v>
      </c>
      <c r="I528" s="72"/>
      <c r="J528" s="72" t="s">
        <v>159</v>
      </c>
      <c r="K528" s="71" t="s">
        <v>2953</v>
      </c>
      <c r="L528" s="75">
        <v>1</v>
      </c>
      <c r="M528" s="76">
        <v>7508.775390625</v>
      </c>
      <c r="N528" s="76">
        <v>598.6038208007812</v>
      </c>
      <c r="O528" s="77"/>
      <c r="P528" s="78"/>
      <c r="Q528" s="78"/>
      <c r="R528" s="90"/>
      <c r="S528" s="49">
        <v>0</v>
      </c>
      <c r="T528" s="49">
        <v>1</v>
      </c>
      <c r="U528" s="50">
        <v>0</v>
      </c>
      <c r="V528" s="50">
        <v>0.20049</v>
      </c>
      <c r="W528" s="51"/>
      <c r="X528" s="51"/>
      <c r="Y528" s="51"/>
      <c r="Z528" s="50"/>
      <c r="AA528" s="73">
        <v>528</v>
      </c>
      <c r="AB528" s="73"/>
      <c r="AC528" s="74"/>
      <c r="AD528" s="81" t="s">
        <v>2953</v>
      </c>
      <c r="AE528" s="81"/>
      <c r="AF528" s="81"/>
      <c r="AG528" s="81"/>
      <c r="AH528" s="81"/>
      <c r="AI528" s="81" t="s">
        <v>2186</v>
      </c>
      <c r="AJ528" s="88">
        <v>44721.22998842593</v>
      </c>
      <c r="AK528" s="86" t="str">
        <f>HYPERLINK("https://yt3.ggpht.com/NV2QOLkWZx5fz5J_f90-hp2nIaWfD7XGWRAQ7dYX1O7utswJdSDi9A70tJmJYIfLNBr5T0Ph=s88-c-k-c0x00ffffff-no-rj")</f>
        <v>https://yt3.ggpht.com/NV2QOLkWZx5fz5J_f90-hp2nIaWfD7XGWRAQ7dYX1O7utswJdSDi9A70tJmJYIfLNBr5T0Ph=s88-c-k-c0x00ffffff-no-rj</v>
      </c>
      <c r="AL528" s="81">
        <v>0</v>
      </c>
      <c r="AM528" s="81">
        <v>0</v>
      </c>
      <c r="AN528" s="81">
        <v>0</v>
      </c>
      <c r="AO528" s="81" t="b">
        <v>0</v>
      </c>
      <c r="AP528" s="81">
        <v>0</v>
      </c>
      <c r="AQ528" s="81"/>
      <c r="AR528" s="81"/>
      <c r="AS528" s="81" t="s">
        <v>3378</v>
      </c>
      <c r="AT528" s="86" t="str">
        <f>HYPERLINK("https://www.youtube.com/channel/UCB-am98os4D1ZfzsmK0kXCw")</f>
        <v>https://www.youtube.com/channel/UCB-am98os4D1ZfzsmK0kXCw</v>
      </c>
      <c r="AU528" s="81" t="str">
        <f>REPLACE(INDEX(GroupVertices[Group],MATCH("~"&amp;Vertices[[#This Row],[Vertex]],GroupVertices[Vertex],0)),1,1,"")</f>
        <v>5</v>
      </c>
      <c r="AV528" s="49"/>
      <c r="AW528" s="49"/>
      <c r="AX528" s="49"/>
      <c r="AY528" s="49"/>
      <c r="AZ528" s="49"/>
      <c r="BA528" s="49"/>
      <c r="BB528" s="117" t="s">
        <v>4189</v>
      </c>
      <c r="BC528" s="117" t="s">
        <v>4189</v>
      </c>
      <c r="BD528" s="117" t="s">
        <v>4875</v>
      </c>
      <c r="BE528" s="117" t="s">
        <v>4875</v>
      </c>
      <c r="BF528" s="2"/>
      <c r="BG528" s="3"/>
      <c r="BH528" s="3"/>
      <c r="BI528" s="3"/>
      <c r="BJ528" s="3"/>
    </row>
    <row r="529" spans="1:62" ht="15">
      <c r="A529" s="66" t="s">
        <v>721</v>
      </c>
      <c r="B529" s="67"/>
      <c r="C529" s="67"/>
      <c r="D529" s="68">
        <v>50</v>
      </c>
      <c r="E529" s="70"/>
      <c r="F529" s="105" t="str">
        <f>HYPERLINK("https://yt3.ggpht.com/hdhbtIH6whF56WgWr_y6Jojo82DVyls4XkQxQK60weNFcA4WOXg5rgTw7Z1snPnippqjX-zpdw=s88-c-k-c0x00ffffff-no-rj")</f>
        <v>https://yt3.ggpht.com/hdhbtIH6whF56WgWr_y6Jojo82DVyls4XkQxQK60weNFcA4WOXg5rgTw7Z1snPnippqjX-zpdw=s88-c-k-c0x00ffffff-no-rj</v>
      </c>
      <c r="G529" s="67"/>
      <c r="H529" s="71" t="s">
        <v>2954</v>
      </c>
      <c r="I529" s="72"/>
      <c r="J529" s="72" t="s">
        <v>159</v>
      </c>
      <c r="K529" s="71" t="s">
        <v>2954</v>
      </c>
      <c r="L529" s="75">
        <v>1</v>
      </c>
      <c r="M529" s="76">
        <v>7737.18212890625</v>
      </c>
      <c r="N529" s="76">
        <v>712.5430297851562</v>
      </c>
      <c r="O529" s="77"/>
      <c r="P529" s="78"/>
      <c r="Q529" s="78"/>
      <c r="R529" s="90"/>
      <c r="S529" s="49">
        <v>0</v>
      </c>
      <c r="T529" s="49">
        <v>1</v>
      </c>
      <c r="U529" s="50">
        <v>0</v>
      </c>
      <c r="V529" s="50">
        <v>0.20049</v>
      </c>
      <c r="W529" s="51"/>
      <c r="X529" s="51"/>
      <c r="Y529" s="51"/>
      <c r="Z529" s="50"/>
      <c r="AA529" s="73">
        <v>529</v>
      </c>
      <c r="AB529" s="73"/>
      <c r="AC529" s="74"/>
      <c r="AD529" s="81" t="s">
        <v>2954</v>
      </c>
      <c r="AE529" s="81" t="s">
        <v>3199</v>
      </c>
      <c r="AF529" s="81"/>
      <c r="AG529" s="81"/>
      <c r="AH529" s="81"/>
      <c r="AI529" s="81" t="s">
        <v>2187</v>
      </c>
      <c r="AJ529" s="88">
        <v>43412.403449074074</v>
      </c>
      <c r="AK529" s="86" t="str">
        <f>HYPERLINK("https://yt3.ggpht.com/hdhbtIH6whF56WgWr_y6Jojo82DVyls4XkQxQK60weNFcA4WOXg5rgTw7Z1snPnippqjX-zpdw=s88-c-k-c0x00ffffff-no-rj")</f>
        <v>https://yt3.ggpht.com/hdhbtIH6whF56WgWr_y6Jojo82DVyls4XkQxQK60weNFcA4WOXg5rgTw7Z1snPnippqjX-zpdw=s88-c-k-c0x00ffffff-no-rj</v>
      </c>
      <c r="AL529" s="81">
        <v>654</v>
      </c>
      <c r="AM529" s="81">
        <v>0</v>
      </c>
      <c r="AN529" s="81">
        <v>6</v>
      </c>
      <c r="AO529" s="81" t="b">
        <v>0</v>
      </c>
      <c r="AP529" s="81">
        <v>35</v>
      </c>
      <c r="AQ529" s="81"/>
      <c r="AR529" s="81"/>
      <c r="AS529" s="81" t="s">
        <v>3378</v>
      </c>
      <c r="AT529" s="86" t="str">
        <f>HYPERLINK("https://www.youtube.com/channel/UCWFhQMHtP9Fg44_YwhySctA")</f>
        <v>https://www.youtube.com/channel/UCWFhQMHtP9Fg44_YwhySctA</v>
      </c>
      <c r="AU529" s="81" t="str">
        <f>REPLACE(INDEX(GroupVertices[Group],MATCH("~"&amp;Vertices[[#This Row],[Vertex]],GroupVertices[Vertex],0)),1,1,"")</f>
        <v>5</v>
      </c>
      <c r="AV529" s="49"/>
      <c r="AW529" s="49"/>
      <c r="AX529" s="49"/>
      <c r="AY529" s="49"/>
      <c r="AZ529" s="49"/>
      <c r="BA529" s="49"/>
      <c r="BB529" s="117" t="s">
        <v>4190</v>
      </c>
      <c r="BC529" s="117" t="s">
        <v>4190</v>
      </c>
      <c r="BD529" s="117" t="s">
        <v>4876</v>
      </c>
      <c r="BE529" s="117" t="s">
        <v>4876</v>
      </c>
      <c r="BF529" s="2"/>
      <c r="BG529" s="3"/>
      <c r="BH529" s="3"/>
      <c r="BI529" s="3"/>
      <c r="BJ529" s="3"/>
    </row>
    <row r="530" spans="1:62" ht="15">
      <c r="A530" s="66" t="s">
        <v>722</v>
      </c>
      <c r="B530" s="67"/>
      <c r="C530" s="67"/>
      <c r="D530" s="68">
        <v>50</v>
      </c>
      <c r="E530" s="70"/>
      <c r="F530" s="105" t="str">
        <f>HYPERLINK("https://yt3.ggpht.com/ytc/AIf8zZRM7cH7AXy7mqazUBgIwBsf2446qf06eEC7LA=s88-c-k-c0x00ffffff-no-rj")</f>
        <v>https://yt3.ggpht.com/ytc/AIf8zZRM7cH7AXy7mqazUBgIwBsf2446qf06eEC7LA=s88-c-k-c0x00ffffff-no-rj</v>
      </c>
      <c r="G530" s="67"/>
      <c r="H530" s="71" t="s">
        <v>2955</v>
      </c>
      <c r="I530" s="72"/>
      <c r="J530" s="72" t="s">
        <v>159</v>
      </c>
      <c r="K530" s="71" t="s">
        <v>2955</v>
      </c>
      <c r="L530" s="75">
        <v>1</v>
      </c>
      <c r="M530" s="76">
        <v>6144.02197265625</v>
      </c>
      <c r="N530" s="76">
        <v>3227.159912109375</v>
      </c>
      <c r="O530" s="77"/>
      <c r="P530" s="78"/>
      <c r="Q530" s="78"/>
      <c r="R530" s="90"/>
      <c r="S530" s="49">
        <v>0</v>
      </c>
      <c r="T530" s="49">
        <v>1</v>
      </c>
      <c r="U530" s="50">
        <v>0</v>
      </c>
      <c r="V530" s="50">
        <v>0.20049</v>
      </c>
      <c r="W530" s="51"/>
      <c r="X530" s="51"/>
      <c r="Y530" s="51"/>
      <c r="Z530" s="50"/>
      <c r="AA530" s="73">
        <v>530</v>
      </c>
      <c r="AB530" s="73"/>
      <c r="AC530" s="74"/>
      <c r="AD530" s="81" t="s">
        <v>2955</v>
      </c>
      <c r="AE530" s="81"/>
      <c r="AF530" s="81"/>
      <c r="AG530" s="81"/>
      <c r="AH530" s="81"/>
      <c r="AI530" s="81" t="s">
        <v>3341</v>
      </c>
      <c r="AJ530" s="88">
        <v>40720.05813657407</v>
      </c>
      <c r="AK530" s="86" t="str">
        <f>HYPERLINK("https://yt3.ggpht.com/ytc/AIf8zZRM7cH7AXy7mqazUBgIwBsf2446qf06eEC7LA=s88-c-k-c0x00ffffff-no-rj")</f>
        <v>https://yt3.ggpht.com/ytc/AIf8zZRM7cH7AXy7mqazUBgIwBsf2446qf06eEC7LA=s88-c-k-c0x00ffffff-no-rj</v>
      </c>
      <c r="AL530" s="81">
        <v>91</v>
      </c>
      <c r="AM530" s="81">
        <v>0</v>
      </c>
      <c r="AN530" s="81">
        <v>1</v>
      </c>
      <c r="AO530" s="81" t="b">
        <v>0</v>
      </c>
      <c r="AP530" s="81">
        <v>3</v>
      </c>
      <c r="AQ530" s="81"/>
      <c r="AR530" s="81"/>
      <c r="AS530" s="81" t="s">
        <v>3378</v>
      </c>
      <c r="AT530" s="86" t="str">
        <f>HYPERLINK("https://www.youtube.com/channel/UCrUmtb_UJcfBDmd0GeFyPQQ")</f>
        <v>https://www.youtube.com/channel/UCrUmtb_UJcfBDmd0GeFyPQQ</v>
      </c>
      <c r="AU530" s="81" t="str">
        <f>REPLACE(INDEX(GroupVertices[Group],MATCH("~"&amp;Vertices[[#This Row],[Vertex]],GroupVertices[Vertex],0)),1,1,"")</f>
        <v>5</v>
      </c>
      <c r="AV530" s="49"/>
      <c r="AW530" s="49"/>
      <c r="AX530" s="49"/>
      <c r="AY530" s="49"/>
      <c r="AZ530" s="49"/>
      <c r="BA530" s="49"/>
      <c r="BB530" s="117" t="s">
        <v>4191</v>
      </c>
      <c r="BC530" s="117" t="s">
        <v>4191</v>
      </c>
      <c r="BD530" s="117" t="s">
        <v>4877</v>
      </c>
      <c r="BE530" s="117" t="s">
        <v>4877</v>
      </c>
      <c r="BF530" s="2"/>
      <c r="BG530" s="3"/>
      <c r="BH530" s="3"/>
      <c r="BI530" s="3"/>
      <c r="BJ530" s="3"/>
    </row>
    <row r="531" spans="1:62" ht="15">
      <c r="A531" s="66" t="s">
        <v>723</v>
      </c>
      <c r="B531" s="67"/>
      <c r="C531" s="67"/>
      <c r="D531" s="68">
        <v>50</v>
      </c>
      <c r="E531" s="70"/>
      <c r="F531" s="105" t="str">
        <f>HYPERLINK("https://yt3.ggpht.com/z5DaF1O8ynyth-8NU-E5XJAhryNQoXZQLFgEpfJ2YMNh58UTOmj_NPN5f5uGFj7J2RjUsNQvXA=s88-c-k-c0x00ffffff-no-rj")</f>
        <v>https://yt3.ggpht.com/z5DaF1O8ynyth-8NU-E5XJAhryNQoXZQLFgEpfJ2YMNh58UTOmj_NPN5f5uGFj7J2RjUsNQvXA=s88-c-k-c0x00ffffff-no-rj</v>
      </c>
      <c r="G531" s="67"/>
      <c r="H531" s="71" t="s">
        <v>2956</v>
      </c>
      <c r="I531" s="72"/>
      <c r="J531" s="72" t="s">
        <v>159</v>
      </c>
      <c r="K531" s="71" t="s">
        <v>2956</v>
      </c>
      <c r="L531" s="75">
        <v>1</v>
      </c>
      <c r="M531" s="76">
        <v>6685.91650390625</v>
      </c>
      <c r="N531" s="76">
        <v>876.9521484375</v>
      </c>
      <c r="O531" s="77"/>
      <c r="P531" s="78"/>
      <c r="Q531" s="78"/>
      <c r="R531" s="90"/>
      <c r="S531" s="49">
        <v>0</v>
      </c>
      <c r="T531" s="49">
        <v>1</v>
      </c>
      <c r="U531" s="50">
        <v>0</v>
      </c>
      <c r="V531" s="50">
        <v>0.20049</v>
      </c>
      <c r="W531" s="51"/>
      <c r="X531" s="51"/>
      <c r="Y531" s="51"/>
      <c r="Z531" s="50"/>
      <c r="AA531" s="73">
        <v>531</v>
      </c>
      <c r="AB531" s="73"/>
      <c r="AC531" s="74"/>
      <c r="AD531" s="81" t="s">
        <v>2956</v>
      </c>
      <c r="AE531" s="81"/>
      <c r="AF531" s="81"/>
      <c r="AG531" s="81"/>
      <c r="AH531" s="81"/>
      <c r="AI531" s="81" t="s">
        <v>2189</v>
      </c>
      <c r="AJ531" s="88">
        <v>44439.6965162037</v>
      </c>
      <c r="AK531" s="86" t="str">
        <f>HYPERLINK("https://yt3.ggpht.com/z5DaF1O8ynyth-8NU-E5XJAhryNQoXZQLFgEpfJ2YMNh58UTOmj_NPN5f5uGFj7J2RjUsNQvXA=s88-c-k-c0x00ffffff-no-rj")</f>
        <v>https://yt3.ggpht.com/z5DaF1O8ynyth-8NU-E5XJAhryNQoXZQLFgEpfJ2YMNh58UTOmj_NPN5f5uGFj7J2RjUsNQvXA=s88-c-k-c0x00ffffff-no-rj</v>
      </c>
      <c r="AL531" s="81">
        <v>306</v>
      </c>
      <c r="AM531" s="81">
        <v>0</v>
      </c>
      <c r="AN531" s="81">
        <v>1</v>
      </c>
      <c r="AO531" s="81" t="b">
        <v>0</v>
      </c>
      <c r="AP531" s="81">
        <v>1</v>
      </c>
      <c r="AQ531" s="81"/>
      <c r="AR531" s="81"/>
      <c r="AS531" s="81" t="s">
        <v>3378</v>
      </c>
      <c r="AT531" s="86" t="str">
        <f>HYPERLINK("https://www.youtube.com/channel/UCk5FUiJD-N1Hyny_iJUPGIQ")</f>
        <v>https://www.youtube.com/channel/UCk5FUiJD-N1Hyny_iJUPGIQ</v>
      </c>
      <c r="AU531" s="81" t="str">
        <f>REPLACE(INDEX(GroupVertices[Group],MATCH("~"&amp;Vertices[[#This Row],[Vertex]],GroupVertices[Vertex],0)),1,1,"")</f>
        <v>5</v>
      </c>
      <c r="AV531" s="49"/>
      <c r="AW531" s="49"/>
      <c r="AX531" s="49"/>
      <c r="AY531" s="49"/>
      <c r="AZ531" s="49"/>
      <c r="BA531" s="49"/>
      <c r="BB531" s="117" t="s">
        <v>4192</v>
      </c>
      <c r="BC531" s="117" t="s">
        <v>4192</v>
      </c>
      <c r="BD531" s="117" t="s">
        <v>4878</v>
      </c>
      <c r="BE531" s="117" t="s">
        <v>4878</v>
      </c>
      <c r="BF531" s="2"/>
      <c r="BG531" s="3"/>
      <c r="BH531" s="3"/>
      <c r="BI531" s="3"/>
      <c r="BJ531" s="3"/>
    </row>
    <row r="532" spans="1:62" ht="15">
      <c r="A532" s="66" t="s">
        <v>724</v>
      </c>
      <c r="B532" s="67"/>
      <c r="C532" s="67"/>
      <c r="D532" s="68">
        <v>50</v>
      </c>
      <c r="E532" s="70"/>
      <c r="F532" s="105" t="str">
        <f>HYPERLINK("https://yt3.ggpht.com/ytc/AIf8zZRlg2WYhKKbJRLGmXr4siD1bkZwoQ0ehq7WxOWzPw=s88-c-k-c0x00ffffff-no-rj")</f>
        <v>https://yt3.ggpht.com/ytc/AIf8zZRlg2WYhKKbJRLGmXr4siD1bkZwoQ0ehq7WxOWzPw=s88-c-k-c0x00ffffff-no-rj</v>
      </c>
      <c r="G532" s="67"/>
      <c r="H532" s="71" t="s">
        <v>2957</v>
      </c>
      <c r="I532" s="72"/>
      <c r="J532" s="72" t="s">
        <v>159</v>
      </c>
      <c r="K532" s="71" t="s">
        <v>2957</v>
      </c>
      <c r="L532" s="75">
        <v>1</v>
      </c>
      <c r="M532" s="76">
        <v>6181.80517578125</v>
      </c>
      <c r="N532" s="76">
        <v>2357.164306640625</v>
      </c>
      <c r="O532" s="77"/>
      <c r="P532" s="78"/>
      <c r="Q532" s="78"/>
      <c r="R532" s="90"/>
      <c r="S532" s="49">
        <v>0</v>
      </c>
      <c r="T532" s="49">
        <v>1</v>
      </c>
      <c r="U532" s="50">
        <v>0</v>
      </c>
      <c r="V532" s="50">
        <v>0.20049</v>
      </c>
      <c r="W532" s="51"/>
      <c r="X532" s="51"/>
      <c r="Y532" s="51"/>
      <c r="Z532" s="50"/>
      <c r="AA532" s="73">
        <v>532</v>
      </c>
      <c r="AB532" s="73"/>
      <c r="AC532" s="74"/>
      <c r="AD532" s="81" t="s">
        <v>2957</v>
      </c>
      <c r="AE532" s="81"/>
      <c r="AF532" s="81"/>
      <c r="AG532" s="81"/>
      <c r="AH532" s="81"/>
      <c r="AI532" s="81" t="s">
        <v>2190</v>
      </c>
      <c r="AJ532" s="88">
        <v>41230.22541666667</v>
      </c>
      <c r="AK532" s="86" t="str">
        <f>HYPERLINK("https://yt3.ggpht.com/ytc/AIf8zZRlg2WYhKKbJRLGmXr4siD1bkZwoQ0ehq7WxOWzPw=s88-c-k-c0x00ffffff-no-rj")</f>
        <v>https://yt3.ggpht.com/ytc/AIf8zZRlg2WYhKKbJRLGmXr4siD1bkZwoQ0ehq7WxOWzPw=s88-c-k-c0x00ffffff-no-rj</v>
      </c>
      <c r="AL532" s="81">
        <v>0</v>
      </c>
      <c r="AM532" s="81">
        <v>0</v>
      </c>
      <c r="AN532" s="81">
        <v>3</v>
      </c>
      <c r="AO532" s="81" t="b">
        <v>0</v>
      </c>
      <c r="AP532" s="81">
        <v>0</v>
      </c>
      <c r="AQ532" s="81"/>
      <c r="AR532" s="81"/>
      <c r="AS532" s="81" t="s">
        <v>3378</v>
      </c>
      <c r="AT532" s="86" t="str">
        <f>HYPERLINK("https://www.youtube.com/channel/UCDH7TcPrEmjYK9unjD4QdbA")</f>
        <v>https://www.youtube.com/channel/UCDH7TcPrEmjYK9unjD4QdbA</v>
      </c>
      <c r="AU532" s="81" t="str">
        <f>REPLACE(INDEX(GroupVertices[Group],MATCH("~"&amp;Vertices[[#This Row],[Vertex]],GroupVertices[Vertex],0)),1,1,"")</f>
        <v>5</v>
      </c>
      <c r="AV532" s="49"/>
      <c r="AW532" s="49"/>
      <c r="AX532" s="49"/>
      <c r="AY532" s="49"/>
      <c r="AZ532" s="49"/>
      <c r="BA532" s="49"/>
      <c r="BB532" s="117" t="s">
        <v>4193</v>
      </c>
      <c r="BC532" s="117" t="s">
        <v>4193</v>
      </c>
      <c r="BD532" s="117" t="s">
        <v>4879</v>
      </c>
      <c r="BE532" s="117" t="s">
        <v>4879</v>
      </c>
      <c r="BF532" s="2"/>
      <c r="BG532" s="3"/>
      <c r="BH532" s="3"/>
      <c r="BI532" s="3"/>
      <c r="BJ532" s="3"/>
    </row>
    <row r="533" spans="1:62" ht="15">
      <c r="A533" s="66" t="s">
        <v>725</v>
      </c>
      <c r="B533" s="67"/>
      <c r="C533" s="67"/>
      <c r="D533" s="68">
        <v>50</v>
      </c>
      <c r="E533" s="70"/>
      <c r="F533" s="105" t="str">
        <f>HYPERLINK("https://yt3.ggpht.com/ytc/AIf8zZRV5sxJbG7dgKXwhSbrSwWu7dt5y-fznPr2itxAf2I=s88-c-k-c0x00ffffff-no-rj")</f>
        <v>https://yt3.ggpht.com/ytc/AIf8zZRV5sxJbG7dgKXwhSbrSwWu7dt5y-fznPr2itxAf2I=s88-c-k-c0x00ffffff-no-rj</v>
      </c>
      <c r="G533" s="67"/>
      <c r="H533" s="71" t="s">
        <v>2958</v>
      </c>
      <c r="I533" s="72"/>
      <c r="J533" s="72" t="s">
        <v>159</v>
      </c>
      <c r="K533" s="71" t="s">
        <v>2958</v>
      </c>
      <c r="L533" s="75">
        <v>1</v>
      </c>
      <c r="M533" s="76">
        <v>7808.73291015625</v>
      </c>
      <c r="N533" s="76">
        <v>4994.3759765625</v>
      </c>
      <c r="O533" s="77"/>
      <c r="P533" s="78"/>
      <c r="Q533" s="78"/>
      <c r="R533" s="90"/>
      <c r="S533" s="49">
        <v>0</v>
      </c>
      <c r="T533" s="49">
        <v>1</v>
      </c>
      <c r="U533" s="50">
        <v>0</v>
      </c>
      <c r="V533" s="50">
        <v>0.20049</v>
      </c>
      <c r="W533" s="51"/>
      <c r="X533" s="51"/>
      <c r="Y533" s="51"/>
      <c r="Z533" s="50"/>
      <c r="AA533" s="73">
        <v>533</v>
      </c>
      <c r="AB533" s="73"/>
      <c r="AC533" s="74"/>
      <c r="AD533" s="81" t="s">
        <v>2958</v>
      </c>
      <c r="AE533" s="81"/>
      <c r="AF533" s="81"/>
      <c r="AG533" s="81"/>
      <c r="AH533" s="81"/>
      <c r="AI533" s="81" t="s">
        <v>2191</v>
      </c>
      <c r="AJ533" s="88">
        <v>42572.59662037037</v>
      </c>
      <c r="AK533" s="86" t="str">
        <f>HYPERLINK("https://yt3.ggpht.com/ytc/AIf8zZRV5sxJbG7dgKXwhSbrSwWu7dt5y-fznPr2itxAf2I=s88-c-k-c0x00ffffff-no-rj")</f>
        <v>https://yt3.ggpht.com/ytc/AIf8zZRV5sxJbG7dgKXwhSbrSwWu7dt5y-fznPr2itxAf2I=s88-c-k-c0x00ffffff-no-rj</v>
      </c>
      <c r="AL533" s="81">
        <v>0</v>
      </c>
      <c r="AM533" s="81">
        <v>0</v>
      </c>
      <c r="AN533" s="81">
        <v>0</v>
      </c>
      <c r="AO533" s="81" t="b">
        <v>0</v>
      </c>
      <c r="AP533" s="81">
        <v>0</v>
      </c>
      <c r="AQ533" s="81"/>
      <c r="AR533" s="81"/>
      <c r="AS533" s="81" t="s">
        <v>3378</v>
      </c>
      <c r="AT533" s="86" t="str">
        <f>HYPERLINK("https://www.youtube.com/channel/UCBY5WVfKtItFgG2-UWb8Jhg")</f>
        <v>https://www.youtube.com/channel/UCBY5WVfKtItFgG2-UWb8Jhg</v>
      </c>
      <c r="AU533" s="81" t="str">
        <f>REPLACE(INDEX(GroupVertices[Group],MATCH("~"&amp;Vertices[[#This Row],[Vertex]],GroupVertices[Vertex],0)),1,1,"")</f>
        <v>5</v>
      </c>
      <c r="AV533" s="49"/>
      <c r="AW533" s="49"/>
      <c r="AX533" s="49"/>
      <c r="AY533" s="49"/>
      <c r="AZ533" s="49"/>
      <c r="BA533" s="49"/>
      <c r="BB533" s="117" t="s">
        <v>4194</v>
      </c>
      <c r="BC533" s="117" t="s">
        <v>4194</v>
      </c>
      <c r="BD533" s="117" t="s">
        <v>4880</v>
      </c>
      <c r="BE533" s="117" t="s">
        <v>4880</v>
      </c>
      <c r="BF533" s="2"/>
      <c r="BG533" s="3"/>
      <c r="BH533" s="3"/>
      <c r="BI533" s="3"/>
      <c r="BJ533" s="3"/>
    </row>
    <row r="534" spans="1:62" ht="15">
      <c r="A534" s="66" t="s">
        <v>726</v>
      </c>
      <c r="B534" s="67"/>
      <c r="C534" s="67"/>
      <c r="D534" s="68">
        <v>50</v>
      </c>
      <c r="E534" s="70"/>
      <c r="F534" s="105" t="str">
        <f>HYPERLINK("https://yt3.ggpht.com/iYzlEY3s2HHLJzsXG4VFxBikDm_BNZtHX3lcmgfi1SKJ4qjXJ88cSnlfX3ZwEQrShHHajnmR=s88-c-k-c0x00ffffff-no-rj")</f>
        <v>https://yt3.ggpht.com/iYzlEY3s2HHLJzsXG4VFxBikDm_BNZtHX3lcmgfi1SKJ4qjXJ88cSnlfX3ZwEQrShHHajnmR=s88-c-k-c0x00ffffff-no-rj</v>
      </c>
      <c r="G534" s="67"/>
      <c r="H534" s="71" t="s">
        <v>2959</v>
      </c>
      <c r="I534" s="72"/>
      <c r="J534" s="72" t="s">
        <v>159</v>
      </c>
      <c r="K534" s="71" t="s">
        <v>2959</v>
      </c>
      <c r="L534" s="75">
        <v>1</v>
      </c>
      <c r="M534" s="76">
        <v>8180.91552734375</v>
      </c>
      <c r="N534" s="76">
        <v>2205.67919921875</v>
      </c>
      <c r="O534" s="77"/>
      <c r="P534" s="78"/>
      <c r="Q534" s="78"/>
      <c r="R534" s="90"/>
      <c r="S534" s="49">
        <v>0</v>
      </c>
      <c r="T534" s="49">
        <v>1</v>
      </c>
      <c r="U534" s="50">
        <v>0</v>
      </c>
      <c r="V534" s="50">
        <v>0.20049</v>
      </c>
      <c r="W534" s="51"/>
      <c r="X534" s="51"/>
      <c r="Y534" s="51"/>
      <c r="Z534" s="50"/>
      <c r="AA534" s="73">
        <v>534</v>
      </c>
      <c r="AB534" s="73"/>
      <c r="AC534" s="74"/>
      <c r="AD534" s="81" t="s">
        <v>2959</v>
      </c>
      <c r="AE534" s="81"/>
      <c r="AF534" s="81"/>
      <c r="AG534" s="81"/>
      <c r="AH534" s="81"/>
      <c r="AI534" s="81" t="s">
        <v>2192</v>
      </c>
      <c r="AJ534" s="88">
        <v>45198.115694444445</v>
      </c>
      <c r="AK534" s="86" t="str">
        <f>HYPERLINK("https://yt3.ggpht.com/iYzlEY3s2HHLJzsXG4VFxBikDm_BNZtHX3lcmgfi1SKJ4qjXJ88cSnlfX3ZwEQrShHHajnmR=s88-c-k-c0x00ffffff-no-rj")</f>
        <v>https://yt3.ggpht.com/iYzlEY3s2HHLJzsXG4VFxBikDm_BNZtHX3lcmgfi1SKJ4qjXJ88cSnlfX3ZwEQrShHHajnmR=s88-c-k-c0x00ffffff-no-rj</v>
      </c>
      <c r="AL534" s="81">
        <v>0</v>
      </c>
      <c r="AM534" s="81">
        <v>0</v>
      </c>
      <c r="AN534" s="81">
        <v>0</v>
      </c>
      <c r="AO534" s="81" t="b">
        <v>0</v>
      </c>
      <c r="AP534" s="81">
        <v>0</v>
      </c>
      <c r="AQ534" s="81"/>
      <c r="AR534" s="81"/>
      <c r="AS534" s="81" t="s">
        <v>3378</v>
      </c>
      <c r="AT534" s="86" t="str">
        <f>HYPERLINK("https://www.youtube.com/channel/UC9E-uwiaGa3-KsHStYA8Pmw")</f>
        <v>https://www.youtube.com/channel/UC9E-uwiaGa3-KsHStYA8Pmw</v>
      </c>
      <c r="AU534" s="81" t="str">
        <f>REPLACE(INDEX(GroupVertices[Group],MATCH("~"&amp;Vertices[[#This Row],[Vertex]],GroupVertices[Vertex],0)),1,1,"")</f>
        <v>5</v>
      </c>
      <c r="AV534" s="49"/>
      <c r="AW534" s="49"/>
      <c r="AX534" s="49"/>
      <c r="AY534" s="49"/>
      <c r="AZ534" s="49"/>
      <c r="BA534" s="49"/>
      <c r="BB534" s="117" t="s">
        <v>4195</v>
      </c>
      <c r="BC534" s="117" t="s">
        <v>4195</v>
      </c>
      <c r="BD534" s="117" t="s">
        <v>4881</v>
      </c>
      <c r="BE534" s="117" t="s">
        <v>4881</v>
      </c>
      <c r="BF534" s="2"/>
      <c r="BG534" s="3"/>
      <c r="BH534" s="3"/>
      <c r="BI534" s="3"/>
      <c r="BJ534" s="3"/>
    </row>
    <row r="535" spans="1:62" ht="15">
      <c r="A535" s="66" t="s">
        <v>727</v>
      </c>
      <c r="B535" s="67"/>
      <c r="C535" s="67"/>
      <c r="D535" s="68">
        <v>50</v>
      </c>
      <c r="E535" s="70"/>
      <c r="F535" s="105" t="str">
        <f>HYPERLINK("https://yt3.ggpht.com/ytc/AIf8zZRkk3ICQNBddUj7yeLQ92CaymL87enaQ3xJVA=s88-c-k-c0x00ffffff-no-rj")</f>
        <v>https://yt3.ggpht.com/ytc/AIf8zZRkk3ICQNBddUj7yeLQ92CaymL87enaQ3xJVA=s88-c-k-c0x00ffffff-no-rj</v>
      </c>
      <c r="G535" s="67"/>
      <c r="H535" s="71" t="s">
        <v>2960</v>
      </c>
      <c r="I535" s="72"/>
      <c r="J535" s="72" t="s">
        <v>159</v>
      </c>
      <c r="K535" s="71" t="s">
        <v>2960</v>
      </c>
      <c r="L535" s="75">
        <v>1</v>
      </c>
      <c r="M535" s="76">
        <v>7595.787109375</v>
      </c>
      <c r="N535" s="76">
        <v>1740.086181640625</v>
      </c>
      <c r="O535" s="77"/>
      <c r="P535" s="78"/>
      <c r="Q535" s="78"/>
      <c r="R535" s="90"/>
      <c r="S535" s="49">
        <v>0</v>
      </c>
      <c r="T535" s="49">
        <v>1</v>
      </c>
      <c r="U535" s="50">
        <v>0</v>
      </c>
      <c r="V535" s="50">
        <v>0.20049</v>
      </c>
      <c r="W535" s="51"/>
      <c r="X535" s="51"/>
      <c r="Y535" s="51"/>
      <c r="Z535" s="50"/>
      <c r="AA535" s="73">
        <v>535</v>
      </c>
      <c r="AB535" s="73"/>
      <c r="AC535" s="74"/>
      <c r="AD535" s="81" t="s">
        <v>2960</v>
      </c>
      <c r="AE535" s="81"/>
      <c r="AF535" s="81"/>
      <c r="AG535" s="81"/>
      <c r="AH535" s="81"/>
      <c r="AI535" s="81" t="s">
        <v>2193</v>
      </c>
      <c r="AJ535" s="88">
        <v>42735.28238425926</v>
      </c>
      <c r="AK535" s="86" t="str">
        <f>HYPERLINK("https://yt3.ggpht.com/ytc/AIf8zZRkk3ICQNBddUj7yeLQ92CaymL87enaQ3xJVA=s88-c-k-c0x00ffffff-no-rj")</f>
        <v>https://yt3.ggpht.com/ytc/AIf8zZRkk3ICQNBddUj7yeLQ92CaymL87enaQ3xJVA=s88-c-k-c0x00ffffff-no-rj</v>
      </c>
      <c r="AL535" s="81">
        <v>0</v>
      </c>
      <c r="AM535" s="81">
        <v>0</v>
      </c>
      <c r="AN535" s="81">
        <v>0</v>
      </c>
      <c r="AO535" s="81" t="b">
        <v>0</v>
      </c>
      <c r="AP535" s="81">
        <v>0</v>
      </c>
      <c r="AQ535" s="81"/>
      <c r="AR535" s="81"/>
      <c r="AS535" s="81" t="s">
        <v>3378</v>
      </c>
      <c r="AT535" s="86" t="str">
        <f>HYPERLINK("https://www.youtube.com/channel/UCAJLpKza1VTPXFaUm-iCpdw")</f>
        <v>https://www.youtube.com/channel/UCAJLpKza1VTPXFaUm-iCpdw</v>
      </c>
      <c r="AU535" s="81" t="str">
        <f>REPLACE(INDEX(GroupVertices[Group],MATCH("~"&amp;Vertices[[#This Row],[Vertex]],GroupVertices[Vertex],0)),1,1,"")</f>
        <v>5</v>
      </c>
      <c r="AV535" s="49"/>
      <c r="AW535" s="49"/>
      <c r="AX535" s="49"/>
      <c r="AY535" s="49"/>
      <c r="AZ535" s="49"/>
      <c r="BA535" s="49"/>
      <c r="BB535" s="117" t="s">
        <v>4196</v>
      </c>
      <c r="BC535" s="117" t="s">
        <v>4196</v>
      </c>
      <c r="BD535" s="117" t="s">
        <v>4882</v>
      </c>
      <c r="BE535" s="117" t="s">
        <v>4882</v>
      </c>
      <c r="BF535" s="2"/>
      <c r="BG535" s="3"/>
      <c r="BH535" s="3"/>
      <c r="BI535" s="3"/>
      <c r="BJ535" s="3"/>
    </row>
    <row r="536" spans="1:62" ht="15">
      <c r="A536" s="66" t="s">
        <v>728</v>
      </c>
      <c r="B536" s="67"/>
      <c r="C536" s="67"/>
      <c r="D536" s="68">
        <v>50</v>
      </c>
      <c r="E536" s="70"/>
      <c r="F536" s="105" t="str">
        <f>HYPERLINK("https://yt3.ggpht.com/ytc/AIf8zZQW5xn9b9QSFomJXhhSKWA0NPLw_6qmWUxW8-ecpw=s88-c-k-c0x00ffffff-no-rj")</f>
        <v>https://yt3.ggpht.com/ytc/AIf8zZQW5xn9b9QSFomJXhhSKWA0NPLw_6qmWUxW8-ecpw=s88-c-k-c0x00ffffff-no-rj</v>
      </c>
      <c r="G536" s="67"/>
      <c r="H536" s="71" t="s">
        <v>2961</v>
      </c>
      <c r="I536" s="72"/>
      <c r="J536" s="72" t="s">
        <v>159</v>
      </c>
      <c r="K536" s="71" t="s">
        <v>2961</v>
      </c>
      <c r="L536" s="75">
        <v>1</v>
      </c>
      <c r="M536" s="76">
        <v>6329.205078125</v>
      </c>
      <c r="N536" s="76">
        <v>4218.37060546875</v>
      </c>
      <c r="O536" s="77"/>
      <c r="P536" s="78"/>
      <c r="Q536" s="78"/>
      <c r="R536" s="90"/>
      <c r="S536" s="49">
        <v>0</v>
      </c>
      <c r="T536" s="49">
        <v>1</v>
      </c>
      <c r="U536" s="50">
        <v>0</v>
      </c>
      <c r="V536" s="50">
        <v>0.20049</v>
      </c>
      <c r="W536" s="51"/>
      <c r="X536" s="51"/>
      <c r="Y536" s="51"/>
      <c r="Z536" s="50"/>
      <c r="AA536" s="73">
        <v>536</v>
      </c>
      <c r="AB536" s="73"/>
      <c r="AC536" s="74"/>
      <c r="AD536" s="81" t="s">
        <v>2961</v>
      </c>
      <c r="AE536" s="81" t="s">
        <v>3200</v>
      </c>
      <c r="AF536" s="81"/>
      <c r="AG536" s="81"/>
      <c r="AH536" s="81"/>
      <c r="AI536" s="81" t="s">
        <v>3342</v>
      </c>
      <c r="AJ536" s="88">
        <v>40530.45905092593</v>
      </c>
      <c r="AK536" s="86" t="str">
        <f>HYPERLINK("https://yt3.ggpht.com/ytc/AIf8zZQW5xn9b9QSFomJXhhSKWA0NPLw_6qmWUxW8-ecpw=s88-c-k-c0x00ffffff-no-rj")</f>
        <v>https://yt3.ggpht.com/ytc/AIf8zZQW5xn9b9QSFomJXhhSKWA0NPLw_6qmWUxW8-ecpw=s88-c-k-c0x00ffffff-no-rj</v>
      </c>
      <c r="AL536" s="81">
        <v>49973</v>
      </c>
      <c r="AM536" s="81">
        <v>0</v>
      </c>
      <c r="AN536" s="81">
        <v>85</v>
      </c>
      <c r="AO536" s="81" t="b">
        <v>0</v>
      </c>
      <c r="AP536" s="81">
        <v>116</v>
      </c>
      <c r="AQ536" s="81"/>
      <c r="AR536" s="81"/>
      <c r="AS536" s="81" t="s">
        <v>3378</v>
      </c>
      <c r="AT536" s="86" t="str">
        <f>HYPERLINK("https://www.youtube.com/channel/UCk9Hj10WYSls4--v3MSDE7A")</f>
        <v>https://www.youtube.com/channel/UCk9Hj10WYSls4--v3MSDE7A</v>
      </c>
      <c r="AU536" s="81" t="str">
        <f>REPLACE(INDEX(GroupVertices[Group],MATCH("~"&amp;Vertices[[#This Row],[Vertex]],GroupVertices[Vertex],0)),1,1,"")</f>
        <v>5</v>
      </c>
      <c r="AV536" s="49"/>
      <c r="AW536" s="49"/>
      <c r="AX536" s="49"/>
      <c r="AY536" s="49"/>
      <c r="AZ536" s="49"/>
      <c r="BA536" s="49"/>
      <c r="BB536" s="117" t="s">
        <v>4197</v>
      </c>
      <c r="BC536" s="117" t="s">
        <v>4197</v>
      </c>
      <c r="BD536" s="117" t="s">
        <v>4883</v>
      </c>
      <c r="BE536" s="117" t="s">
        <v>4883</v>
      </c>
      <c r="BF536" s="2"/>
      <c r="BG536" s="3"/>
      <c r="BH536" s="3"/>
      <c r="BI536" s="3"/>
      <c r="BJ536" s="3"/>
    </row>
    <row r="537" spans="1:62" ht="15">
      <c r="A537" s="66" t="s">
        <v>729</v>
      </c>
      <c r="B537" s="67"/>
      <c r="C537" s="67"/>
      <c r="D537" s="68">
        <v>50</v>
      </c>
      <c r="E537" s="70"/>
      <c r="F537" s="105" t="str">
        <f>HYPERLINK("https://yt3.ggpht.com/vsjncmBrmkBJifFNr2Bead1c0104MlR-eEBo3dqaXNOFmebVTX5nAmhCA3vgNEBYP_cyAuwB=s88-c-k-c0x00ffffff-no-rj")</f>
        <v>https://yt3.ggpht.com/vsjncmBrmkBJifFNr2Bead1c0104MlR-eEBo3dqaXNOFmebVTX5nAmhCA3vgNEBYP_cyAuwB=s88-c-k-c0x00ffffff-no-rj</v>
      </c>
      <c r="G537" s="67"/>
      <c r="H537" s="71" t="s">
        <v>2962</v>
      </c>
      <c r="I537" s="72"/>
      <c r="J537" s="72" t="s">
        <v>159</v>
      </c>
      <c r="K537" s="71" t="s">
        <v>2962</v>
      </c>
      <c r="L537" s="75">
        <v>1</v>
      </c>
      <c r="M537" s="76">
        <v>7001.193359375</v>
      </c>
      <c r="N537" s="76">
        <v>152.4237823486328</v>
      </c>
      <c r="O537" s="77"/>
      <c r="P537" s="78"/>
      <c r="Q537" s="78"/>
      <c r="R537" s="90"/>
      <c r="S537" s="49">
        <v>0</v>
      </c>
      <c r="T537" s="49">
        <v>1</v>
      </c>
      <c r="U537" s="50">
        <v>0</v>
      </c>
      <c r="V537" s="50">
        <v>0.20049</v>
      </c>
      <c r="W537" s="51"/>
      <c r="X537" s="51"/>
      <c r="Y537" s="51"/>
      <c r="Z537" s="50"/>
      <c r="AA537" s="73">
        <v>537</v>
      </c>
      <c r="AB537" s="73"/>
      <c r="AC537" s="74"/>
      <c r="AD537" s="81" t="s">
        <v>2962</v>
      </c>
      <c r="AE537" s="81"/>
      <c r="AF537" s="81"/>
      <c r="AG537" s="81"/>
      <c r="AH537" s="81"/>
      <c r="AI537" s="81" t="s">
        <v>2195</v>
      </c>
      <c r="AJ537" s="88">
        <v>45178.18515046296</v>
      </c>
      <c r="AK537" s="86" t="str">
        <f>HYPERLINK("https://yt3.ggpht.com/vsjncmBrmkBJifFNr2Bead1c0104MlR-eEBo3dqaXNOFmebVTX5nAmhCA3vgNEBYP_cyAuwB=s88-c-k-c0x00ffffff-no-rj")</f>
        <v>https://yt3.ggpht.com/vsjncmBrmkBJifFNr2Bead1c0104MlR-eEBo3dqaXNOFmebVTX5nAmhCA3vgNEBYP_cyAuwB=s88-c-k-c0x00ffffff-no-rj</v>
      </c>
      <c r="AL537" s="81">
        <v>0</v>
      </c>
      <c r="AM537" s="81">
        <v>0</v>
      </c>
      <c r="AN537" s="81">
        <v>0</v>
      </c>
      <c r="AO537" s="81" t="b">
        <v>0</v>
      </c>
      <c r="AP537" s="81">
        <v>0</v>
      </c>
      <c r="AQ537" s="81"/>
      <c r="AR537" s="81"/>
      <c r="AS537" s="81" t="s">
        <v>3378</v>
      </c>
      <c r="AT537" s="86" t="str">
        <f>HYPERLINK("https://www.youtube.com/channel/UCt6aOvDjJxVkJF9DFC-HdZQ")</f>
        <v>https://www.youtube.com/channel/UCt6aOvDjJxVkJF9DFC-HdZQ</v>
      </c>
      <c r="AU537" s="81" t="str">
        <f>REPLACE(INDEX(GroupVertices[Group],MATCH("~"&amp;Vertices[[#This Row],[Vertex]],GroupVertices[Vertex],0)),1,1,"")</f>
        <v>5</v>
      </c>
      <c r="AV537" s="49" t="s">
        <v>3487</v>
      </c>
      <c r="AW537" s="49" t="s">
        <v>3487</v>
      </c>
      <c r="AX537" s="49" t="s">
        <v>2414</v>
      </c>
      <c r="AY537" s="49" t="s">
        <v>2414</v>
      </c>
      <c r="AZ537" s="49"/>
      <c r="BA537" s="49"/>
      <c r="BB537" s="117" t="s">
        <v>4198</v>
      </c>
      <c r="BC537" s="117" t="s">
        <v>4198</v>
      </c>
      <c r="BD537" s="117" t="s">
        <v>4884</v>
      </c>
      <c r="BE537" s="117" t="s">
        <v>4884</v>
      </c>
      <c r="BF537" s="2"/>
      <c r="BG537" s="3"/>
      <c r="BH537" s="3"/>
      <c r="BI537" s="3"/>
      <c r="BJ537" s="3"/>
    </row>
    <row r="538" spans="1:62" ht="15">
      <c r="A538" s="66" t="s">
        <v>730</v>
      </c>
      <c r="B538" s="67"/>
      <c r="C538" s="67"/>
      <c r="D538" s="68">
        <v>50</v>
      </c>
      <c r="E538" s="70"/>
      <c r="F538" s="105" t="str">
        <f>HYPERLINK("https://yt3.ggpht.com/ytc/AIf8zZS2m7iI0l56HtkGEF-8w5P_RjCO6ryAbwc2xg=s88-c-k-c0x00ffffff-no-rj")</f>
        <v>https://yt3.ggpht.com/ytc/AIf8zZS2m7iI0l56HtkGEF-8w5P_RjCO6ryAbwc2xg=s88-c-k-c0x00ffffff-no-rj</v>
      </c>
      <c r="G538" s="67"/>
      <c r="H538" s="71" t="s">
        <v>2963</v>
      </c>
      <c r="I538" s="72"/>
      <c r="J538" s="72" t="s">
        <v>159</v>
      </c>
      <c r="K538" s="71" t="s">
        <v>2963</v>
      </c>
      <c r="L538" s="75">
        <v>1</v>
      </c>
      <c r="M538" s="76">
        <v>7858.6982421875</v>
      </c>
      <c r="N538" s="76">
        <v>2774.11279296875</v>
      </c>
      <c r="O538" s="77"/>
      <c r="P538" s="78"/>
      <c r="Q538" s="78"/>
      <c r="R538" s="90"/>
      <c r="S538" s="49">
        <v>0</v>
      </c>
      <c r="T538" s="49">
        <v>1</v>
      </c>
      <c r="U538" s="50">
        <v>0</v>
      </c>
      <c r="V538" s="50">
        <v>0.20049</v>
      </c>
      <c r="W538" s="51"/>
      <c r="X538" s="51"/>
      <c r="Y538" s="51"/>
      <c r="Z538" s="50"/>
      <c r="AA538" s="73">
        <v>538</v>
      </c>
      <c r="AB538" s="73"/>
      <c r="AC538" s="74"/>
      <c r="AD538" s="81" t="s">
        <v>2963</v>
      </c>
      <c r="AE538" s="81"/>
      <c r="AF538" s="81"/>
      <c r="AG538" s="81"/>
      <c r="AH538" s="81"/>
      <c r="AI538" s="81" t="s">
        <v>2196</v>
      </c>
      <c r="AJ538" s="88">
        <v>42427.45159722222</v>
      </c>
      <c r="AK538" s="86" t="str">
        <f>HYPERLINK("https://yt3.ggpht.com/ytc/AIf8zZS2m7iI0l56HtkGEF-8w5P_RjCO6ryAbwc2xg=s88-c-k-c0x00ffffff-no-rj")</f>
        <v>https://yt3.ggpht.com/ytc/AIf8zZS2m7iI0l56HtkGEF-8w5P_RjCO6ryAbwc2xg=s88-c-k-c0x00ffffff-no-rj</v>
      </c>
      <c r="AL538" s="81">
        <v>0</v>
      </c>
      <c r="AM538" s="81">
        <v>0</v>
      </c>
      <c r="AN538" s="81">
        <v>2</v>
      </c>
      <c r="AO538" s="81" t="b">
        <v>0</v>
      </c>
      <c r="AP538" s="81">
        <v>0</v>
      </c>
      <c r="AQ538" s="81"/>
      <c r="AR538" s="81"/>
      <c r="AS538" s="81" t="s">
        <v>3378</v>
      </c>
      <c r="AT538" s="86" t="str">
        <f>HYPERLINK("https://www.youtube.com/channel/UCmKMJPCMnwJLiG_Zq8B-yKw")</f>
        <v>https://www.youtube.com/channel/UCmKMJPCMnwJLiG_Zq8B-yKw</v>
      </c>
      <c r="AU538" s="81" t="str">
        <f>REPLACE(INDEX(GroupVertices[Group],MATCH("~"&amp;Vertices[[#This Row],[Vertex]],GroupVertices[Vertex],0)),1,1,"")</f>
        <v>5</v>
      </c>
      <c r="AV538" s="49"/>
      <c r="AW538" s="49"/>
      <c r="AX538" s="49"/>
      <c r="AY538" s="49"/>
      <c r="AZ538" s="49"/>
      <c r="BA538" s="49"/>
      <c r="BB538" s="117" t="s">
        <v>4199</v>
      </c>
      <c r="BC538" s="117" t="s">
        <v>4199</v>
      </c>
      <c r="BD538" s="117" t="s">
        <v>4885</v>
      </c>
      <c r="BE538" s="117" t="s">
        <v>4885</v>
      </c>
      <c r="BF538" s="2"/>
      <c r="BG538" s="3"/>
      <c r="BH538" s="3"/>
      <c r="BI538" s="3"/>
      <c r="BJ538" s="3"/>
    </row>
    <row r="539" spans="1:62" ht="15">
      <c r="A539" s="66" t="s">
        <v>731</v>
      </c>
      <c r="B539" s="67"/>
      <c r="C539" s="67"/>
      <c r="D539" s="68">
        <v>50</v>
      </c>
      <c r="E539" s="70"/>
      <c r="F539" s="105" t="str">
        <f>HYPERLINK("https://yt3.ggpht.com/7uVvcBlo8HtO7aVtx4BMS2fSaCKlSeGxpPEpT-622v9dRZBzoZu6WiWcNOUqHLnQB4h3eDX5GQ=s88-c-k-c0x00ffffff-no-rj")</f>
        <v>https://yt3.ggpht.com/7uVvcBlo8HtO7aVtx4BMS2fSaCKlSeGxpPEpT-622v9dRZBzoZu6WiWcNOUqHLnQB4h3eDX5GQ=s88-c-k-c0x00ffffff-no-rj</v>
      </c>
      <c r="G539" s="67"/>
      <c r="H539" s="71" t="s">
        <v>2964</v>
      </c>
      <c r="I539" s="72"/>
      <c r="J539" s="72" t="s">
        <v>159</v>
      </c>
      <c r="K539" s="71" t="s">
        <v>2964</v>
      </c>
      <c r="L539" s="75">
        <v>1</v>
      </c>
      <c r="M539" s="76">
        <v>8086.755859375</v>
      </c>
      <c r="N539" s="76">
        <v>3268.705810546875</v>
      </c>
      <c r="O539" s="77"/>
      <c r="P539" s="78"/>
      <c r="Q539" s="78"/>
      <c r="R539" s="90"/>
      <c r="S539" s="49">
        <v>0</v>
      </c>
      <c r="T539" s="49">
        <v>1</v>
      </c>
      <c r="U539" s="50">
        <v>0</v>
      </c>
      <c r="V539" s="50">
        <v>0.20049</v>
      </c>
      <c r="W539" s="51"/>
      <c r="X539" s="51"/>
      <c r="Y539" s="51"/>
      <c r="Z539" s="50"/>
      <c r="AA539" s="73">
        <v>539</v>
      </c>
      <c r="AB539" s="73"/>
      <c r="AC539" s="74"/>
      <c r="AD539" s="81" t="s">
        <v>2964</v>
      </c>
      <c r="AE539" s="81"/>
      <c r="AF539" s="81"/>
      <c r="AG539" s="81"/>
      <c r="AH539" s="81"/>
      <c r="AI539" s="81" t="s">
        <v>2197</v>
      </c>
      <c r="AJ539" s="88">
        <v>40864.05795138889</v>
      </c>
      <c r="AK539" s="86" t="str">
        <f>HYPERLINK("https://yt3.ggpht.com/7uVvcBlo8HtO7aVtx4BMS2fSaCKlSeGxpPEpT-622v9dRZBzoZu6WiWcNOUqHLnQB4h3eDX5GQ=s88-c-k-c0x00ffffff-no-rj")</f>
        <v>https://yt3.ggpht.com/7uVvcBlo8HtO7aVtx4BMS2fSaCKlSeGxpPEpT-622v9dRZBzoZu6WiWcNOUqHLnQB4h3eDX5GQ=s88-c-k-c0x00ffffff-no-rj</v>
      </c>
      <c r="AL539" s="81">
        <v>0</v>
      </c>
      <c r="AM539" s="81">
        <v>0</v>
      </c>
      <c r="AN539" s="81">
        <v>1</v>
      </c>
      <c r="AO539" s="81" t="b">
        <v>0</v>
      </c>
      <c r="AP539" s="81">
        <v>0</v>
      </c>
      <c r="AQ539" s="81"/>
      <c r="AR539" s="81"/>
      <c r="AS539" s="81" t="s">
        <v>3378</v>
      </c>
      <c r="AT539" s="86" t="str">
        <f>HYPERLINK("https://www.youtube.com/channel/UCGzueH5RuohK3Icv_COo7gg")</f>
        <v>https://www.youtube.com/channel/UCGzueH5RuohK3Icv_COo7gg</v>
      </c>
      <c r="AU539" s="81" t="str">
        <f>REPLACE(INDEX(GroupVertices[Group],MATCH("~"&amp;Vertices[[#This Row],[Vertex]],GroupVertices[Vertex],0)),1,1,"")</f>
        <v>5</v>
      </c>
      <c r="AV539" s="49"/>
      <c r="AW539" s="49"/>
      <c r="AX539" s="49"/>
      <c r="AY539" s="49"/>
      <c r="AZ539" s="49"/>
      <c r="BA539" s="49"/>
      <c r="BB539" s="117" t="s">
        <v>4200</v>
      </c>
      <c r="BC539" s="117" t="s">
        <v>4200</v>
      </c>
      <c r="BD539" s="117" t="s">
        <v>4886</v>
      </c>
      <c r="BE539" s="117" t="s">
        <v>4886</v>
      </c>
      <c r="BF539" s="2"/>
      <c r="BG539" s="3"/>
      <c r="BH539" s="3"/>
      <c r="BI539" s="3"/>
      <c r="BJ539" s="3"/>
    </row>
    <row r="540" spans="1:62" ht="15">
      <c r="A540" s="66" t="s">
        <v>732</v>
      </c>
      <c r="B540" s="67"/>
      <c r="C540" s="67"/>
      <c r="D540" s="68">
        <v>50</v>
      </c>
      <c r="E540" s="70"/>
      <c r="F540" s="105" t="str">
        <f>HYPERLINK("https://yt3.ggpht.com/ytc/AIf8zZTpM3p-g82HxGZffMRzwEK3hvb2ELoPysYGUs4r=s88-c-k-c0x00ffffff-no-rj")</f>
        <v>https://yt3.ggpht.com/ytc/AIf8zZTpM3p-g82HxGZffMRzwEK3hvb2ELoPysYGUs4r=s88-c-k-c0x00ffffff-no-rj</v>
      </c>
      <c r="G540" s="67"/>
      <c r="H540" s="71" t="s">
        <v>2965</v>
      </c>
      <c r="I540" s="72"/>
      <c r="J540" s="72" t="s">
        <v>159</v>
      </c>
      <c r="K540" s="71" t="s">
        <v>2965</v>
      </c>
      <c r="L540" s="75">
        <v>1</v>
      </c>
      <c r="M540" s="76">
        <v>8137.1806640625</v>
      </c>
      <c r="N540" s="76">
        <v>1721.349609375</v>
      </c>
      <c r="O540" s="77"/>
      <c r="P540" s="78"/>
      <c r="Q540" s="78"/>
      <c r="R540" s="90"/>
      <c r="S540" s="49">
        <v>0</v>
      </c>
      <c r="T540" s="49">
        <v>1</v>
      </c>
      <c r="U540" s="50">
        <v>0</v>
      </c>
      <c r="V540" s="50">
        <v>0.20049</v>
      </c>
      <c r="W540" s="51"/>
      <c r="X540" s="51"/>
      <c r="Y540" s="51"/>
      <c r="Z540" s="50"/>
      <c r="AA540" s="73">
        <v>540</v>
      </c>
      <c r="AB540" s="73"/>
      <c r="AC540" s="74"/>
      <c r="AD540" s="81" t="s">
        <v>2965</v>
      </c>
      <c r="AE540" s="81"/>
      <c r="AF540" s="81"/>
      <c r="AG540" s="81"/>
      <c r="AH540" s="81"/>
      <c r="AI540" s="81" t="s">
        <v>2198</v>
      </c>
      <c r="AJ540" s="88">
        <v>44269.95822916667</v>
      </c>
      <c r="AK540" s="86" t="str">
        <f>HYPERLINK("https://yt3.ggpht.com/ytc/AIf8zZTpM3p-g82HxGZffMRzwEK3hvb2ELoPysYGUs4r=s88-c-k-c0x00ffffff-no-rj")</f>
        <v>https://yt3.ggpht.com/ytc/AIf8zZTpM3p-g82HxGZffMRzwEK3hvb2ELoPysYGUs4r=s88-c-k-c0x00ffffff-no-rj</v>
      </c>
      <c r="AL540" s="81">
        <v>0</v>
      </c>
      <c r="AM540" s="81">
        <v>0</v>
      </c>
      <c r="AN540" s="81">
        <v>0</v>
      </c>
      <c r="AO540" s="81" t="b">
        <v>0</v>
      </c>
      <c r="AP540" s="81">
        <v>0</v>
      </c>
      <c r="AQ540" s="81"/>
      <c r="AR540" s="81"/>
      <c r="AS540" s="81" t="s">
        <v>3378</v>
      </c>
      <c r="AT540" s="86" t="str">
        <f>HYPERLINK("https://www.youtube.com/channel/UCQf-kWfY0y1mkSC9KPgsrKA")</f>
        <v>https://www.youtube.com/channel/UCQf-kWfY0y1mkSC9KPgsrKA</v>
      </c>
      <c r="AU540" s="81" t="str">
        <f>REPLACE(INDEX(GroupVertices[Group],MATCH("~"&amp;Vertices[[#This Row],[Vertex]],GroupVertices[Vertex],0)),1,1,"")</f>
        <v>5</v>
      </c>
      <c r="AV540" s="49"/>
      <c r="AW540" s="49"/>
      <c r="AX540" s="49"/>
      <c r="AY540" s="49"/>
      <c r="AZ540" s="49"/>
      <c r="BA540" s="49"/>
      <c r="BB540" s="117" t="s">
        <v>4201</v>
      </c>
      <c r="BC540" s="117" t="s">
        <v>4201</v>
      </c>
      <c r="BD540" s="117" t="s">
        <v>4887</v>
      </c>
      <c r="BE540" s="117" t="s">
        <v>4887</v>
      </c>
      <c r="BF540" s="2"/>
      <c r="BG540" s="3"/>
      <c r="BH540" s="3"/>
      <c r="BI540" s="3"/>
      <c r="BJ540" s="3"/>
    </row>
    <row r="541" spans="1:62" ht="15">
      <c r="A541" s="66" t="s">
        <v>733</v>
      </c>
      <c r="B541" s="67"/>
      <c r="C541" s="67"/>
      <c r="D541" s="68">
        <v>50</v>
      </c>
      <c r="E541" s="70"/>
      <c r="F541" s="105" t="str">
        <f>HYPERLINK("https://yt3.ggpht.com/GJO_vfpJOtQQr8I0TX-Nu1cpRog-_HUzfX6kA4jM4Y6sfc5rv13lnAS4JybwpwyawLdtuL3Q=s88-c-k-c0x00ffffff-no-rj")</f>
        <v>https://yt3.ggpht.com/GJO_vfpJOtQQr8I0TX-Nu1cpRog-_HUzfX6kA4jM4Y6sfc5rv13lnAS4JybwpwyawLdtuL3Q=s88-c-k-c0x00ffffff-no-rj</v>
      </c>
      <c r="G541" s="67"/>
      <c r="H541" s="71" t="s">
        <v>2966</v>
      </c>
      <c r="I541" s="72"/>
      <c r="J541" s="72" t="s">
        <v>159</v>
      </c>
      <c r="K541" s="71" t="s">
        <v>2966</v>
      </c>
      <c r="L541" s="75">
        <v>1</v>
      </c>
      <c r="M541" s="76">
        <v>8172.3037109375</v>
      </c>
      <c r="N541" s="76">
        <v>3821.84765625</v>
      </c>
      <c r="O541" s="77"/>
      <c r="P541" s="78"/>
      <c r="Q541" s="78"/>
      <c r="R541" s="90"/>
      <c r="S541" s="49">
        <v>0</v>
      </c>
      <c r="T541" s="49">
        <v>1</v>
      </c>
      <c r="U541" s="50">
        <v>0</v>
      </c>
      <c r="V541" s="50">
        <v>0.20049</v>
      </c>
      <c r="W541" s="51"/>
      <c r="X541" s="51"/>
      <c r="Y541" s="51"/>
      <c r="Z541" s="50"/>
      <c r="AA541" s="73">
        <v>541</v>
      </c>
      <c r="AB541" s="73"/>
      <c r="AC541" s="74"/>
      <c r="AD541" s="81" t="s">
        <v>2966</v>
      </c>
      <c r="AE541" s="81" t="s">
        <v>3201</v>
      </c>
      <c r="AF541" s="81"/>
      <c r="AG541" s="81"/>
      <c r="AH541" s="81"/>
      <c r="AI541" s="81" t="s">
        <v>2199</v>
      </c>
      <c r="AJ541" s="88">
        <v>42636.89796296296</v>
      </c>
      <c r="AK541" s="86" t="str">
        <f>HYPERLINK("https://yt3.ggpht.com/GJO_vfpJOtQQr8I0TX-Nu1cpRog-_HUzfX6kA4jM4Y6sfc5rv13lnAS4JybwpwyawLdtuL3Q=s88-c-k-c0x00ffffff-no-rj")</f>
        <v>https://yt3.ggpht.com/GJO_vfpJOtQQr8I0TX-Nu1cpRog-_HUzfX6kA4jM4Y6sfc5rv13lnAS4JybwpwyawLdtuL3Q=s88-c-k-c0x00ffffff-no-rj</v>
      </c>
      <c r="AL541" s="81">
        <v>170</v>
      </c>
      <c r="AM541" s="81">
        <v>0</v>
      </c>
      <c r="AN541" s="81">
        <v>1</v>
      </c>
      <c r="AO541" s="81" t="b">
        <v>0</v>
      </c>
      <c r="AP541" s="81">
        <v>1</v>
      </c>
      <c r="AQ541" s="81"/>
      <c r="AR541" s="81"/>
      <c r="AS541" s="81" t="s">
        <v>3378</v>
      </c>
      <c r="AT541" s="86" t="str">
        <f>HYPERLINK("https://www.youtube.com/channel/UC2_IIQEUsvFej9-jPMqyl1A")</f>
        <v>https://www.youtube.com/channel/UC2_IIQEUsvFej9-jPMqyl1A</v>
      </c>
      <c r="AU541" s="81" t="str">
        <f>REPLACE(INDEX(GroupVertices[Group],MATCH("~"&amp;Vertices[[#This Row],[Vertex]],GroupVertices[Vertex],0)),1,1,"")</f>
        <v>5</v>
      </c>
      <c r="AV541" s="49"/>
      <c r="AW541" s="49"/>
      <c r="AX541" s="49"/>
      <c r="AY541" s="49"/>
      <c r="AZ541" s="49"/>
      <c r="BA541" s="49"/>
      <c r="BB541" s="117" t="s">
        <v>4202</v>
      </c>
      <c r="BC541" s="117" t="s">
        <v>4202</v>
      </c>
      <c r="BD541" s="117" t="s">
        <v>4888</v>
      </c>
      <c r="BE541" s="117" t="s">
        <v>4888</v>
      </c>
      <c r="BF541" s="2"/>
      <c r="BG541" s="3"/>
      <c r="BH541" s="3"/>
      <c r="BI541" s="3"/>
      <c r="BJ541" s="3"/>
    </row>
    <row r="542" spans="1:62" ht="15">
      <c r="A542" s="66" t="s">
        <v>734</v>
      </c>
      <c r="B542" s="67"/>
      <c r="C542" s="67"/>
      <c r="D542" s="68">
        <v>50</v>
      </c>
      <c r="E542" s="70"/>
      <c r="F542" s="105" t="str">
        <f>HYPERLINK("https://yt3.ggpht.com/ytc/AIf8zZSNsUp0cL0ePmW8tH0XdXFrEkt4gevT1huhNA=s88-c-k-c0x00ffffff-no-rj")</f>
        <v>https://yt3.ggpht.com/ytc/AIf8zZSNsUp0cL0ePmW8tH0XdXFrEkt4gevT1huhNA=s88-c-k-c0x00ffffff-no-rj</v>
      </c>
      <c r="G542" s="67"/>
      <c r="H542" s="71" t="s">
        <v>2967</v>
      </c>
      <c r="I542" s="72"/>
      <c r="J542" s="72" t="s">
        <v>159</v>
      </c>
      <c r="K542" s="71" t="s">
        <v>2967</v>
      </c>
      <c r="L542" s="75">
        <v>1</v>
      </c>
      <c r="M542" s="76">
        <v>8085.98486328125</v>
      </c>
      <c r="N542" s="76">
        <v>4275.01904296875</v>
      </c>
      <c r="O542" s="77"/>
      <c r="P542" s="78"/>
      <c r="Q542" s="78"/>
      <c r="R542" s="90"/>
      <c r="S542" s="49">
        <v>0</v>
      </c>
      <c r="T542" s="49">
        <v>1</v>
      </c>
      <c r="U542" s="50">
        <v>0</v>
      </c>
      <c r="V542" s="50">
        <v>0.20049</v>
      </c>
      <c r="W542" s="51"/>
      <c r="X542" s="51"/>
      <c r="Y542" s="51"/>
      <c r="Z542" s="50"/>
      <c r="AA542" s="73">
        <v>542</v>
      </c>
      <c r="AB542" s="73"/>
      <c r="AC542" s="74"/>
      <c r="AD542" s="81" t="s">
        <v>2967</v>
      </c>
      <c r="AE542" s="81"/>
      <c r="AF542" s="81"/>
      <c r="AG542" s="81"/>
      <c r="AH542" s="81"/>
      <c r="AI542" s="81" t="s">
        <v>2200</v>
      </c>
      <c r="AJ542" s="88">
        <v>42219.173263888886</v>
      </c>
      <c r="AK542" s="86" t="str">
        <f>HYPERLINK("https://yt3.ggpht.com/ytc/AIf8zZSNsUp0cL0ePmW8tH0XdXFrEkt4gevT1huhNA=s88-c-k-c0x00ffffff-no-rj")</f>
        <v>https://yt3.ggpht.com/ytc/AIf8zZSNsUp0cL0ePmW8tH0XdXFrEkt4gevT1huhNA=s88-c-k-c0x00ffffff-no-rj</v>
      </c>
      <c r="AL542" s="81">
        <v>0</v>
      </c>
      <c r="AM542" s="81">
        <v>0</v>
      </c>
      <c r="AN542" s="81">
        <v>0</v>
      </c>
      <c r="AO542" s="81" t="b">
        <v>0</v>
      </c>
      <c r="AP542" s="81">
        <v>0</v>
      </c>
      <c r="AQ542" s="81"/>
      <c r="AR542" s="81"/>
      <c r="AS542" s="81" t="s">
        <v>3378</v>
      </c>
      <c r="AT542" s="86" t="str">
        <f>HYPERLINK("https://www.youtube.com/channel/UCgBIsXAjzj5XYflu9qu9OGg")</f>
        <v>https://www.youtube.com/channel/UCgBIsXAjzj5XYflu9qu9OGg</v>
      </c>
      <c r="AU542" s="81" t="str">
        <f>REPLACE(INDEX(GroupVertices[Group],MATCH("~"&amp;Vertices[[#This Row],[Vertex]],GroupVertices[Vertex],0)),1,1,"")</f>
        <v>5</v>
      </c>
      <c r="AV542" s="49"/>
      <c r="AW542" s="49"/>
      <c r="AX542" s="49"/>
      <c r="AY542" s="49"/>
      <c r="AZ542" s="49"/>
      <c r="BA542" s="49"/>
      <c r="BB542" s="117" t="s">
        <v>4203</v>
      </c>
      <c r="BC542" s="117" t="s">
        <v>4203</v>
      </c>
      <c r="BD542" s="117" t="s">
        <v>4889</v>
      </c>
      <c r="BE542" s="117" t="s">
        <v>4889</v>
      </c>
      <c r="BF542" s="2"/>
      <c r="BG542" s="3"/>
      <c r="BH542" s="3"/>
      <c r="BI542" s="3"/>
      <c r="BJ542" s="3"/>
    </row>
    <row r="543" spans="1:62" ht="15">
      <c r="A543" s="66" t="s">
        <v>735</v>
      </c>
      <c r="B543" s="67"/>
      <c r="C543" s="67"/>
      <c r="D543" s="68">
        <v>50</v>
      </c>
      <c r="E543" s="70"/>
      <c r="F543" s="105" t="str">
        <f>HYPERLINK("https://yt3.ggpht.com/ytc/AIf8zZQ5cXROBEH8Q3ZbX2TvmwioDfBMxum-k_gW81jrNcYUHzOcH-FiFpfHEcImnxDD=s88-c-k-c0x00ffffff-no-rj")</f>
        <v>https://yt3.ggpht.com/ytc/AIf8zZQ5cXROBEH8Q3ZbX2TvmwioDfBMxum-k_gW81jrNcYUHzOcH-FiFpfHEcImnxDD=s88-c-k-c0x00ffffff-no-rj</v>
      </c>
      <c r="G543" s="67"/>
      <c r="H543" s="71" t="s">
        <v>2968</v>
      </c>
      <c r="I543" s="72"/>
      <c r="J543" s="72" t="s">
        <v>159</v>
      </c>
      <c r="K543" s="71" t="s">
        <v>2968</v>
      </c>
      <c r="L543" s="75">
        <v>1</v>
      </c>
      <c r="M543" s="76">
        <v>7977.50927734375</v>
      </c>
      <c r="N543" s="76">
        <v>2530.7412109375</v>
      </c>
      <c r="O543" s="77"/>
      <c r="P543" s="78"/>
      <c r="Q543" s="78"/>
      <c r="R543" s="90"/>
      <c r="S543" s="49">
        <v>0</v>
      </c>
      <c r="T543" s="49">
        <v>1</v>
      </c>
      <c r="U543" s="50">
        <v>0</v>
      </c>
      <c r="V543" s="50">
        <v>0.20049</v>
      </c>
      <c r="W543" s="51"/>
      <c r="X543" s="51"/>
      <c r="Y543" s="51"/>
      <c r="Z543" s="50"/>
      <c r="AA543" s="73">
        <v>543</v>
      </c>
      <c r="AB543" s="73"/>
      <c r="AC543" s="74"/>
      <c r="AD543" s="81" t="s">
        <v>2968</v>
      </c>
      <c r="AE543" s="81"/>
      <c r="AF543" s="81"/>
      <c r="AG543" s="81"/>
      <c r="AH543" s="81"/>
      <c r="AI543" s="81" t="s">
        <v>2201</v>
      </c>
      <c r="AJ543" s="88">
        <v>44808.30238425926</v>
      </c>
      <c r="AK543" s="86" t="str">
        <f>HYPERLINK("https://yt3.ggpht.com/ytc/AIf8zZQ5cXROBEH8Q3ZbX2TvmwioDfBMxum-k_gW81jrNcYUHzOcH-FiFpfHEcImnxDD=s88-c-k-c0x00ffffff-no-rj")</f>
        <v>https://yt3.ggpht.com/ytc/AIf8zZQ5cXROBEH8Q3ZbX2TvmwioDfBMxum-k_gW81jrNcYUHzOcH-FiFpfHEcImnxDD=s88-c-k-c0x00ffffff-no-rj</v>
      </c>
      <c r="AL543" s="81">
        <v>0</v>
      </c>
      <c r="AM543" s="81">
        <v>0</v>
      </c>
      <c r="AN543" s="81">
        <v>1</v>
      </c>
      <c r="AO543" s="81" t="b">
        <v>0</v>
      </c>
      <c r="AP543" s="81">
        <v>0</v>
      </c>
      <c r="AQ543" s="81"/>
      <c r="AR543" s="81"/>
      <c r="AS543" s="81" t="s">
        <v>3378</v>
      </c>
      <c r="AT543" s="86" t="str">
        <f>HYPERLINK("https://www.youtube.com/channel/UCFTAJaYrEx-iR8IlKv-vXfA")</f>
        <v>https://www.youtube.com/channel/UCFTAJaYrEx-iR8IlKv-vXfA</v>
      </c>
      <c r="AU543" s="81" t="str">
        <f>REPLACE(INDEX(GroupVertices[Group],MATCH("~"&amp;Vertices[[#This Row],[Vertex]],GroupVertices[Vertex],0)),1,1,"")</f>
        <v>5</v>
      </c>
      <c r="AV543" s="49"/>
      <c r="AW543" s="49"/>
      <c r="AX543" s="49"/>
      <c r="AY543" s="49"/>
      <c r="AZ543" s="49"/>
      <c r="BA543" s="49"/>
      <c r="BB543" s="117" t="s">
        <v>4204</v>
      </c>
      <c r="BC543" s="117" t="s">
        <v>4204</v>
      </c>
      <c r="BD543" s="117" t="s">
        <v>4890</v>
      </c>
      <c r="BE543" s="117" t="s">
        <v>4890</v>
      </c>
      <c r="BF543" s="2"/>
      <c r="BG543" s="3"/>
      <c r="BH543" s="3"/>
      <c r="BI543" s="3"/>
      <c r="BJ543" s="3"/>
    </row>
    <row r="544" spans="1:62" ht="15">
      <c r="A544" s="66" t="s">
        <v>736</v>
      </c>
      <c r="B544" s="67"/>
      <c r="C544" s="67"/>
      <c r="D544" s="68">
        <v>50</v>
      </c>
      <c r="E544" s="70"/>
      <c r="F544" s="105" t="str">
        <f>HYPERLINK("https://yt3.ggpht.com/ytc/AIf8zZSyneHyEHe7vjI74vgK6D0_H8Z8uR2NqiAGMDP3Mg=s88-c-k-c0x00ffffff-no-rj")</f>
        <v>https://yt3.ggpht.com/ytc/AIf8zZSyneHyEHe7vjI74vgK6D0_H8Z8uR2NqiAGMDP3Mg=s88-c-k-c0x00ffffff-no-rj</v>
      </c>
      <c r="G544" s="67"/>
      <c r="H544" s="71" t="s">
        <v>2969</v>
      </c>
      <c r="I544" s="72"/>
      <c r="J544" s="72" t="s">
        <v>159</v>
      </c>
      <c r="K544" s="71" t="s">
        <v>2969</v>
      </c>
      <c r="L544" s="75">
        <v>1</v>
      </c>
      <c r="M544" s="76">
        <v>7295.73681640625</v>
      </c>
      <c r="N544" s="76">
        <v>4023.900390625</v>
      </c>
      <c r="O544" s="77"/>
      <c r="P544" s="78"/>
      <c r="Q544" s="78"/>
      <c r="R544" s="90"/>
      <c r="S544" s="49">
        <v>0</v>
      </c>
      <c r="T544" s="49">
        <v>1</v>
      </c>
      <c r="U544" s="50">
        <v>0</v>
      </c>
      <c r="V544" s="50">
        <v>0.20049</v>
      </c>
      <c r="W544" s="51"/>
      <c r="X544" s="51"/>
      <c r="Y544" s="51"/>
      <c r="Z544" s="50"/>
      <c r="AA544" s="73">
        <v>544</v>
      </c>
      <c r="AB544" s="73"/>
      <c r="AC544" s="74"/>
      <c r="AD544" s="81" t="s">
        <v>2969</v>
      </c>
      <c r="AE544" s="81" t="s">
        <v>3202</v>
      </c>
      <c r="AF544" s="81"/>
      <c r="AG544" s="81"/>
      <c r="AH544" s="81"/>
      <c r="AI544" s="81" t="s">
        <v>3343</v>
      </c>
      <c r="AJ544" s="88">
        <v>41787.049409722225</v>
      </c>
      <c r="AK544" s="86" t="str">
        <f>HYPERLINK("https://yt3.ggpht.com/ytc/AIf8zZSyneHyEHe7vjI74vgK6D0_H8Z8uR2NqiAGMDP3Mg=s88-c-k-c0x00ffffff-no-rj")</f>
        <v>https://yt3.ggpht.com/ytc/AIf8zZSyneHyEHe7vjI74vgK6D0_H8Z8uR2NqiAGMDP3Mg=s88-c-k-c0x00ffffff-no-rj</v>
      </c>
      <c r="AL544" s="81">
        <v>494841</v>
      </c>
      <c r="AM544" s="81">
        <v>0</v>
      </c>
      <c r="AN544" s="81">
        <v>916</v>
      </c>
      <c r="AO544" s="81" t="b">
        <v>0</v>
      </c>
      <c r="AP544" s="81">
        <v>16</v>
      </c>
      <c r="AQ544" s="81"/>
      <c r="AR544" s="81"/>
      <c r="AS544" s="81" t="s">
        <v>3378</v>
      </c>
      <c r="AT544" s="86" t="str">
        <f>HYPERLINK("https://www.youtube.com/channel/UCgDkdV9-DJ5PBczCow26nCw")</f>
        <v>https://www.youtube.com/channel/UCgDkdV9-DJ5PBczCow26nCw</v>
      </c>
      <c r="AU544" s="81" t="str">
        <f>REPLACE(INDEX(GroupVertices[Group],MATCH("~"&amp;Vertices[[#This Row],[Vertex]],GroupVertices[Vertex],0)),1,1,"")</f>
        <v>5</v>
      </c>
      <c r="AV544" s="49"/>
      <c r="AW544" s="49"/>
      <c r="AX544" s="49"/>
      <c r="AY544" s="49"/>
      <c r="AZ544" s="49"/>
      <c r="BA544" s="49"/>
      <c r="BB544" s="117" t="s">
        <v>4205</v>
      </c>
      <c r="BC544" s="117" t="s">
        <v>4205</v>
      </c>
      <c r="BD544" s="117" t="s">
        <v>4891</v>
      </c>
      <c r="BE544" s="117" t="s">
        <v>4891</v>
      </c>
      <c r="BF544" s="2"/>
      <c r="BG544" s="3"/>
      <c r="BH544" s="3"/>
      <c r="BI544" s="3"/>
      <c r="BJ544" s="3"/>
    </row>
    <row r="545" spans="1:62" ht="15">
      <c r="A545" s="66" t="s">
        <v>737</v>
      </c>
      <c r="B545" s="67"/>
      <c r="C545" s="67"/>
      <c r="D545" s="68">
        <v>50</v>
      </c>
      <c r="E545" s="70"/>
      <c r="F545" s="105" t="str">
        <f>HYPERLINK("https://yt3.ggpht.com/ytc/AIf8zZTVm0eenAYNT47mfQctGwCOfgNtdjEIO20kEzMJjA=s88-c-k-c0x00ffffff-no-rj")</f>
        <v>https://yt3.ggpht.com/ytc/AIf8zZTVm0eenAYNT47mfQctGwCOfgNtdjEIO20kEzMJjA=s88-c-k-c0x00ffffff-no-rj</v>
      </c>
      <c r="G545" s="67"/>
      <c r="H545" s="71" t="s">
        <v>2970</v>
      </c>
      <c r="I545" s="72"/>
      <c r="J545" s="72" t="s">
        <v>159</v>
      </c>
      <c r="K545" s="71" t="s">
        <v>2970</v>
      </c>
      <c r="L545" s="75">
        <v>1</v>
      </c>
      <c r="M545" s="76">
        <v>6328.173828125</v>
      </c>
      <c r="N545" s="76">
        <v>4672.44580078125</v>
      </c>
      <c r="O545" s="77"/>
      <c r="P545" s="78"/>
      <c r="Q545" s="78"/>
      <c r="R545" s="90"/>
      <c r="S545" s="49">
        <v>0</v>
      </c>
      <c r="T545" s="49">
        <v>1</v>
      </c>
      <c r="U545" s="50">
        <v>0</v>
      </c>
      <c r="V545" s="50">
        <v>0.20049</v>
      </c>
      <c r="W545" s="51"/>
      <c r="X545" s="51"/>
      <c r="Y545" s="51"/>
      <c r="Z545" s="50"/>
      <c r="AA545" s="73">
        <v>545</v>
      </c>
      <c r="AB545" s="73"/>
      <c r="AC545" s="74"/>
      <c r="AD545" s="81" t="s">
        <v>2970</v>
      </c>
      <c r="AE545" s="81"/>
      <c r="AF545" s="81"/>
      <c r="AG545" s="81"/>
      <c r="AH545" s="81"/>
      <c r="AI545" s="81" t="s">
        <v>3344</v>
      </c>
      <c r="AJ545" s="88">
        <v>39140.23607638889</v>
      </c>
      <c r="AK545" s="86" t="str">
        <f>HYPERLINK("https://yt3.ggpht.com/ytc/AIf8zZTVm0eenAYNT47mfQctGwCOfgNtdjEIO20kEzMJjA=s88-c-k-c0x00ffffff-no-rj")</f>
        <v>https://yt3.ggpht.com/ytc/AIf8zZTVm0eenAYNT47mfQctGwCOfgNtdjEIO20kEzMJjA=s88-c-k-c0x00ffffff-no-rj</v>
      </c>
      <c r="AL545" s="81">
        <v>36916</v>
      </c>
      <c r="AM545" s="81">
        <v>0</v>
      </c>
      <c r="AN545" s="81">
        <v>57</v>
      </c>
      <c r="AO545" s="81" t="b">
        <v>0</v>
      </c>
      <c r="AP545" s="81">
        <v>5</v>
      </c>
      <c r="AQ545" s="81"/>
      <c r="AR545" s="81"/>
      <c r="AS545" s="81" t="s">
        <v>3378</v>
      </c>
      <c r="AT545" s="86" t="str">
        <f>HYPERLINK("https://www.youtube.com/channel/UC_4Sj3C57bF5Rg74c--fV4Q")</f>
        <v>https://www.youtube.com/channel/UC_4Sj3C57bF5Rg74c--fV4Q</v>
      </c>
      <c r="AU545" s="81" t="str">
        <f>REPLACE(INDEX(GroupVertices[Group],MATCH("~"&amp;Vertices[[#This Row],[Vertex]],GroupVertices[Vertex],0)),1,1,"")</f>
        <v>5</v>
      </c>
      <c r="AV545" s="49"/>
      <c r="AW545" s="49"/>
      <c r="AX545" s="49"/>
      <c r="AY545" s="49"/>
      <c r="AZ545" s="49"/>
      <c r="BA545" s="49"/>
      <c r="BB545" s="117" t="s">
        <v>4206</v>
      </c>
      <c r="BC545" s="117" t="s">
        <v>4374</v>
      </c>
      <c r="BD545" s="117" t="s">
        <v>4892</v>
      </c>
      <c r="BE545" s="117" t="s">
        <v>4892</v>
      </c>
      <c r="BF545" s="2"/>
      <c r="BG545" s="3"/>
      <c r="BH545" s="3"/>
      <c r="BI545" s="3"/>
      <c r="BJ545" s="3"/>
    </row>
    <row r="546" spans="1:62" ht="15">
      <c r="A546" s="66" t="s">
        <v>738</v>
      </c>
      <c r="B546" s="67"/>
      <c r="C546" s="67"/>
      <c r="D546" s="68">
        <v>50</v>
      </c>
      <c r="E546" s="70"/>
      <c r="F546" s="105" t="str">
        <f>HYPERLINK("https://yt3.ggpht.com/ytc/AIf8zZTUmfcTJBkhBS4gYnvaDAvSI-QYpyWyNSgBsfZcb_WNFrSuuR4oeNv6xVevC1jc=s88-c-k-c0x00ffffff-no-rj")</f>
        <v>https://yt3.ggpht.com/ytc/AIf8zZTUmfcTJBkhBS4gYnvaDAvSI-QYpyWyNSgBsfZcb_WNFrSuuR4oeNv6xVevC1jc=s88-c-k-c0x00ffffff-no-rj</v>
      </c>
      <c r="G546" s="67"/>
      <c r="H546" s="71" t="s">
        <v>2971</v>
      </c>
      <c r="I546" s="72"/>
      <c r="J546" s="72" t="s">
        <v>159</v>
      </c>
      <c r="K546" s="71" t="s">
        <v>2971</v>
      </c>
      <c r="L546" s="75">
        <v>1</v>
      </c>
      <c r="M546" s="76">
        <v>7689.88916015625</v>
      </c>
      <c r="N546" s="76">
        <v>1333.0009765625</v>
      </c>
      <c r="O546" s="77"/>
      <c r="P546" s="78"/>
      <c r="Q546" s="78"/>
      <c r="R546" s="90"/>
      <c r="S546" s="49">
        <v>0</v>
      </c>
      <c r="T546" s="49">
        <v>1</v>
      </c>
      <c r="U546" s="50">
        <v>0</v>
      </c>
      <c r="V546" s="50">
        <v>0.20049</v>
      </c>
      <c r="W546" s="51"/>
      <c r="X546" s="51"/>
      <c r="Y546" s="51"/>
      <c r="Z546" s="50"/>
      <c r="AA546" s="73">
        <v>546</v>
      </c>
      <c r="AB546" s="73"/>
      <c r="AC546" s="74"/>
      <c r="AD546" s="81" t="s">
        <v>2971</v>
      </c>
      <c r="AE546" s="81"/>
      <c r="AF546" s="81"/>
      <c r="AG546" s="81"/>
      <c r="AH546" s="81"/>
      <c r="AI546" s="81" t="s">
        <v>2204</v>
      </c>
      <c r="AJ546" s="88">
        <v>44869.25681712963</v>
      </c>
      <c r="AK546" s="86" t="str">
        <f>HYPERLINK("https://yt3.ggpht.com/ytc/AIf8zZTUmfcTJBkhBS4gYnvaDAvSI-QYpyWyNSgBsfZcb_WNFrSuuR4oeNv6xVevC1jc=s88-c-k-c0x00ffffff-no-rj")</f>
        <v>https://yt3.ggpht.com/ytc/AIf8zZTUmfcTJBkhBS4gYnvaDAvSI-QYpyWyNSgBsfZcb_WNFrSuuR4oeNv6xVevC1jc=s88-c-k-c0x00ffffff-no-rj</v>
      </c>
      <c r="AL546" s="81">
        <v>0</v>
      </c>
      <c r="AM546" s="81">
        <v>0</v>
      </c>
      <c r="AN546" s="81">
        <v>2</v>
      </c>
      <c r="AO546" s="81" t="b">
        <v>0</v>
      </c>
      <c r="AP546" s="81">
        <v>0</v>
      </c>
      <c r="AQ546" s="81"/>
      <c r="AR546" s="81"/>
      <c r="AS546" s="81" t="s">
        <v>3378</v>
      </c>
      <c r="AT546" s="86" t="str">
        <f>HYPERLINK("https://www.youtube.com/channel/UCuZIvh2yMLyHB1qYauNoLLw")</f>
        <v>https://www.youtube.com/channel/UCuZIvh2yMLyHB1qYauNoLLw</v>
      </c>
      <c r="AU546" s="81" t="str">
        <f>REPLACE(INDEX(GroupVertices[Group],MATCH("~"&amp;Vertices[[#This Row],[Vertex]],GroupVertices[Vertex],0)),1,1,"")</f>
        <v>5</v>
      </c>
      <c r="AV546" s="49"/>
      <c r="AW546" s="49"/>
      <c r="AX546" s="49"/>
      <c r="AY546" s="49"/>
      <c r="AZ546" s="49"/>
      <c r="BA546" s="49"/>
      <c r="BB546" s="117" t="s">
        <v>4207</v>
      </c>
      <c r="BC546" s="117" t="s">
        <v>4207</v>
      </c>
      <c r="BD546" s="117" t="s">
        <v>4893</v>
      </c>
      <c r="BE546" s="117" t="s">
        <v>4893</v>
      </c>
      <c r="BF546" s="2"/>
      <c r="BG546" s="3"/>
      <c r="BH546" s="3"/>
      <c r="BI546" s="3"/>
      <c r="BJ546" s="3"/>
    </row>
    <row r="547" spans="1:62" ht="15">
      <c r="A547" s="66" t="s">
        <v>739</v>
      </c>
      <c r="B547" s="67"/>
      <c r="C547" s="67"/>
      <c r="D547" s="68">
        <v>50</v>
      </c>
      <c r="E547" s="70"/>
      <c r="F547" s="105" t="str">
        <f>HYPERLINK("https://yt3.ggpht.com/ytc/AIf8zZRy86N7a15jHmHtMYQoTNg3N9jzQpBYTt-FXO6_=s88-c-k-c0x00ffffff-no-rj")</f>
        <v>https://yt3.ggpht.com/ytc/AIf8zZRy86N7a15jHmHtMYQoTNg3N9jzQpBYTt-FXO6_=s88-c-k-c0x00ffffff-no-rj</v>
      </c>
      <c r="G547" s="67"/>
      <c r="H547" s="71" t="s">
        <v>2972</v>
      </c>
      <c r="I547" s="72"/>
      <c r="J547" s="72" t="s">
        <v>159</v>
      </c>
      <c r="K547" s="71" t="s">
        <v>2972</v>
      </c>
      <c r="L547" s="75">
        <v>1</v>
      </c>
      <c r="M547" s="76">
        <v>6336.4853515625</v>
      </c>
      <c r="N547" s="76">
        <v>3739.641845703125</v>
      </c>
      <c r="O547" s="77"/>
      <c r="P547" s="78"/>
      <c r="Q547" s="78"/>
      <c r="R547" s="90"/>
      <c r="S547" s="49">
        <v>0</v>
      </c>
      <c r="T547" s="49">
        <v>1</v>
      </c>
      <c r="U547" s="50">
        <v>0</v>
      </c>
      <c r="V547" s="50">
        <v>0.20049</v>
      </c>
      <c r="W547" s="51"/>
      <c r="X547" s="51"/>
      <c r="Y547" s="51"/>
      <c r="Z547" s="50"/>
      <c r="AA547" s="73">
        <v>547</v>
      </c>
      <c r="AB547" s="73"/>
      <c r="AC547" s="74"/>
      <c r="AD547" s="81" t="s">
        <v>2972</v>
      </c>
      <c r="AE547" s="81"/>
      <c r="AF547" s="81"/>
      <c r="AG547" s="81"/>
      <c r="AH547" s="81"/>
      <c r="AI547" s="81" t="s">
        <v>2205</v>
      </c>
      <c r="AJ547" s="88">
        <v>43077.42680555556</v>
      </c>
      <c r="AK547" s="86" t="str">
        <f>HYPERLINK("https://yt3.ggpht.com/ytc/AIf8zZRy86N7a15jHmHtMYQoTNg3N9jzQpBYTt-FXO6_=s88-c-k-c0x00ffffff-no-rj")</f>
        <v>https://yt3.ggpht.com/ytc/AIf8zZRy86N7a15jHmHtMYQoTNg3N9jzQpBYTt-FXO6_=s88-c-k-c0x00ffffff-no-rj</v>
      </c>
      <c r="AL547" s="81">
        <v>0</v>
      </c>
      <c r="AM547" s="81">
        <v>0</v>
      </c>
      <c r="AN547" s="81">
        <v>6</v>
      </c>
      <c r="AO547" s="81" t="b">
        <v>0</v>
      </c>
      <c r="AP547" s="81">
        <v>0</v>
      </c>
      <c r="AQ547" s="81"/>
      <c r="AR547" s="81"/>
      <c r="AS547" s="81" t="s">
        <v>3378</v>
      </c>
      <c r="AT547" s="86" t="str">
        <f>HYPERLINK("https://www.youtube.com/channel/UCdPVRYapsEnNZoj0ZGftzMw")</f>
        <v>https://www.youtube.com/channel/UCdPVRYapsEnNZoj0ZGftzMw</v>
      </c>
      <c r="AU547" s="81" t="str">
        <f>REPLACE(INDEX(GroupVertices[Group],MATCH("~"&amp;Vertices[[#This Row],[Vertex]],GroupVertices[Vertex],0)),1,1,"")</f>
        <v>5</v>
      </c>
      <c r="AV547" s="49"/>
      <c r="AW547" s="49"/>
      <c r="AX547" s="49"/>
      <c r="AY547" s="49"/>
      <c r="AZ547" s="49"/>
      <c r="BA547" s="49"/>
      <c r="BB547" s="117" t="s">
        <v>4208</v>
      </c>
      <c r="BC547" s="117" t="s">
        <v>4208</v>
      </c>
      <c r="BD547" s="117" t="s">
        <v>4894</v>
      </c>
      <c r="BE547" s="117" t="s">
        <v>4894</v>
      </c>
      <c r="BF547" s="2"/>
      <c r="BG547" s="3"/>
      <c r="BH547" s="3"/>
      <c r="BI547" s="3"/>
      <c r="BJ547" s="3"/>
    </row>
    <row r="548" spans="1:62" ht="15">
      <c r="A548" s="66" t="s">
        <v>740</v>
      </c>
      <c r="B548" s="67"/>
      <c r="C548" s="67"/>
      <c r="D548" s="68">
        <v>50</v>
      </c>
      <c r="E548" s="70"/>
      <c r="F548" s="105" t="str">
        <f>HYPERLINK("https://yt3.ggpht.com/VoPYpk9a1_JUkLIJf_qyqwtMGD5NLsVmqgPnjDi1oG_7ZaIYx5bHLmzrXsgLC0EnUeVf9a7tZaE=s88-c-k-c0x00ffffff-no-rj")</f>
        <v>https://yt3.ggpht.com/VoPYpk9a1_JUkLIJf_qyqwtMGD5NLsVmqgPnjDi1oG_7ZaIYx5bHLmzrXsgLC0EnUeVf9a7tZaE=s88-c-k-c0x00ffffff-no-rj</v>
      </c>
      <c r="G548" s="67"/>
      <c r="H548" s="71" t="s">
        <v>2973</v>
      </c>
      <c r="I548" s="72"/>
      <c r="J548" s="72" t="s">
        <v>159</v>
      </c>
      <c r="K548" s="71" t="s">
        <v>2973</v>
      </c>
      <c r="L548" s="75">
        <v>1</v>
      </c>
      <c r="M548" s="76">
        <v>6863.462890625</v>
      </c>
      <c r="N548" s="76">
        <v>381.5301818847656</v>
      </c>
      <c r="O548" s="77"/>
      <c r="P548" s="78"/>
      <c r="Q548" s="78"/>
      <c r="R548" s="90"/>
      <c r="S548" s="49">
        <v>0</v>
      </c>
      <c r="T548" s="49">
        <v>1</v>
      </c>
      <c r="U548" s="50">
        <v>0</v>
      </c>
      <c r="V548" s="50">
        <v>0.20049</v>
      </c>
      <c r="W548" s="51"/>
      <c r="X548" s="51"/>
      <c r="Y548" s="51"/>
      <c r="Z548" s="50"/>
      <c r="AA548" s="73">
        <v>548</v>
      </c>
      <c r="AB548" s="73"/>
      <c r="AC548" s="74"/>
      <c r="AD548" s="81" t="s">
        <v>2973</v>
      </c>
      <c r="AE548" s="81"/>
      <c r="AF548" s="81"/>
      <c r="AG548" s="81"/>
      <c r="AH548" s="81"/>
      <c r="AI548" s="81" t="s">
        <v>3345</v>
      </c>
      <c r="AJ548" s="88">
        <v>44299.24961805555</v>
      </c>
      <c r="AK548" s="86" t="str">
        <f>HYPERLINK("https://yt3.ggpht.com/VoPYpk9a1_JUkLIJf_qyqwtMGD5NLsVmqgPnjDi1oG_7ZaIYx5bHLmzrXsgLC0EnUeVf9a7tZaE=s88-c-k-c0x00ffffff-no-rj")</f>
        <v>https://yt3.ggpht.com/VoPYpk9a1_JUkLIJf_qyqwtMGD5NLsVmqgPnjDi1oG_7ZaIYx5bHLmzrXsgLC0EnUeVf9a7tZaE=s88-c-k-c0x00ffffff-no-rj</v>
      </c>
      <c r="AL548" s="81">
        <v>0</v>
      </c>
      <c r="AM548" s="81">
        <v>0</v>
      </c>
      <c r="AN548" s="81">
        <v>0</v>
      </c>
      <c r="AO548" s="81" t="b">
        <v>0</v>
      </c>
      <c r="AP548" s="81">
        <v>0</v>
      </c>
      <c r="AQ548" s="81"/>
      <c r="AR548" s="81"/>
      <c r="AS548" s="81" t="s">
        <v>3378</v>
      </c>
      <c r="AT548" s="86" t="str">
        <f>HYPERLINK("https://www.youtube.com/channel/UCpFUBwmXD1UjmnPm8KBG-gQ")</f>
        <v>https://www.youtube.com/channel/UCpFUBwmXD1UjmnPm8KBG-gQ</v>
      </c>
      <c r="AU548" s="81" t="str">
        <f>REPLACE(INDEX(GroupVertices[Group],MATCH("~"&amp;Vertices[[#This Row],[Vertex]],GroupVertices[Vertex],0)),1,1,"")</f>
        <v>5</v>
      </c>
      <c r="AV548" s="49"/>
      <c r="AW548" s="49"/>
      <c r="AX548" s="49"/>
      <c r="AY548" s="49"/>
      <c r="AZ548" s="49"/>
      <c r="BA548" s="49"/>
      <c r="BB548" s="117" t="s">
        <v>4209</v>
      </c>
      <c r="BC548" s="117" t="s">
        <v>4209</v>
      </c>
      <c r="BD548" s="117" t="s">
        <v>4895</v>
      </c>
      <c r="BE548" s="117" t="s">
        <v>4895</v>
      </c>
      <c r="BF548" s="2"/>
      <c r="BG548" s="3"/>
      <c r="BH548" s="3"/>
      <c r="BI548" s="3"/>
      <c r="BJ548" s="3"/>
    </row>
    <row r="549" spans="1:62" ht="15">
      <c r="A549" s="66" t="s">
        <v>741</v>
      </c>
      <c r="B549" s="67"/>
      <c r="C549" s="67"/>
      <c r="D549" s="68">
        <v>50</v>
      </c>
      <c r="E549" s="70"/>
      <c r="F549" s="105" t="str">
        <f>HYPERLINK("https://yt3.ggpht.com/LTiUXh0aK0c7IphZHKuGupeFdJhrbKCmk_rahI6PIVZV5FhZ2HPyKo-JLGqHm4k8aJUs1DOk=s88-c-k-c0x00ffffff-no-rj")</f>
        <v>https://yt3.ggpht.com/LTiUXh0aK0c7IphZHKuGupeFdJhrbKCmk_rahI6PIVZV5FhZ2HPyKo-JLGqHm4k8aJUs1DOk=s88-c-k-c0x00ffffff-no-rj</v>
      </c>
      <c r="G549" s="67"/>
      <c r="H549" s="71" t="s">
        <v>2974</v>
      </c>
      <c r="I549" s="72"/>
      <c r="J549" s="72" t="s">
        <v>159</v>
      </c>
      <c r="K549" s="71" t="s">
        <v>2974</v>
      </c>
      <c r="L549" s="75">
        <v>1</v>
      </c>
      <c r="M549" s="76">
        <v>6725.08740234375</v>
      </c>
      <c r="N549" s="76">
        <v>2483.321533203125</v>
      </c>
      <c r="O549" s="77"/>
      <c r="P549" s="78"/>
      <c r="Q549" s="78"/>
      <c r="R549" s="90"/>
      <c r="S549" s="49">
        <v>0</v>
      </c>
      <c r="T549" s="49">
        <v>1</v>
      </c>
      <c r="U549" s="50">
        <v>0</v>
      </c>
      <c r="V549" s="50">
        <v>0.20049</v>
      </c>
      <c r="W549" s="51"/>
      <c r="X549" s="51"/>
      <c r="Y549" s="51"/>
      <c r="Z549" s="50"/>
      <c r="AA549" s="73">
        <v>549</v>
      </c>
      <c r="AB549" s="73"/>
      <c r="AC549" s="74"/>
      <c r="AD549" s="81" t="s">
        <v>2974</v>
      </c>
      <c r="AE549" s="81"/>
      <c r="AF549" s="81"/>
      <c r="AG549" s="81"/>
      <c r="AH549" s="81"/>
      <c r="AI549" s="81" t="s">
        <v>2207</v>
      </c>
      <c r="AJ549" s="88">
        <v>44814.63953703704</v>
      </c>
      <c r="AK549" s="86" t="str">
        <f>HYPERLINK("https://yt3.ggpht.com/LTiUXh0aK0c7IphZHKuGupeFdJhrbKCmk_rahI6PIVZV5FhZ2HPyKo-JLGqHm4k8aJUs1DOk=s88-c-k-c0x00ffffff-no-rj")</f>
        <v>https://yt3.ggpht.com/LTiUXh0aK0c7IphZHKuGupeFdJhrbKCmk_rahI6PIVZV5FhZ2HPyKo-JLGqHm4k8aJUs1DOk=s88-c-k-c0x00ffffff-no-rj</v>
      </c>
      <c r="AL549" s="81">
        <v>0</v>
      </c>
      <c r="AM549" s="81">
        <v>0</v>
      </c>
      <c r="AN549" s="81">
        <v>0</v>
      </c>
      <c r="AO549" s="81" t="b">
        <v>0</v>
      </c>
      <c r="AP549" s="81">
        <v>0</v>
      </c>
      <c r="AQ549" s="81"/>
      <c r="AR549" s="81"/>
      <c r="AS549" s="81" t="s">
        <v>3378</v>
      </c>
      <c r="AT549" s="86" t="str">
        <f>HYPERLINK("https://www.youtube.com/channel/UCtXF6pCd8uSWATsGAzWAMDw")</f>
        <v>https://www.youtube.com/channel/UCtXF6pCd8uSWATsGAzWAMDw</v>
      </c>
      <c r="AU549" s="81" t="str">
        <f>REPLACE(INDEX(GroupVertices[Group],MATCH("~"&amp;Vertices[[#This Row],[Vertex]],GroupVertices[Vertex],0)),1,1,"")</f>
        <v>5</v>
      </c>
      <c r="AV549" s="49"/>
      <c r="AW549" s="49"/>
      <c r="AX549" s="49"/>
      <c r="AY549" s="49"/>
      <c r="AZ549" s="49"/>
      <c r="BA549" s="49"/>
      <c r="BB549" s="117" t="s">
        <v>4210</v>
      </c>
      <c r="BC549" s="117" t="s">
        <v>4210</v>
      </c>
      <c r="BD549" s="117" t="s">
        <v>4896</v>
      </c>
      <c r="BE549" s="117" t="s">
        <v>4896</v>
      </c>
      <c r="BF549" s="2"/>
      <c r="BG549" s="3"/>
      <c r="BH549" s="3"/>
      <c r="BI549" s="3"/>
      <c r="BJ549" s="3"/>
    </row>
    <row r="550" spans="1:62" ht="15">
      <c r="A550" s="66" t="s">
        <v>742</v>
      </c>
      <c r="B550" s="67"/>
      <c r="C550" s="67"/>
      <c r="D550" s="68">
        <v>50</v>
      </c>
      <c r="E550" s="70"/>
      <c r="F550" s="105" t="str">
        <f>HYPERLINK("https://yt3.ggpht.com/v_HlEqDyRNRVtqF9qratMf8Z8ZvYVS26im8k6df0WKiho5wrMIno4aN3lVRgdNj4abOuvmx7a7o=s88-c-k-c0x00ffffff-no-rj")</f>
        <v>https://yt3.ggpht.com/v_HlEqDyRNRVtqF9qratMf8Z8ZvYVS26im8k6df0WKiho5wrMIno4aN3lVRgdNj4abOuvmx7a7o=s88-c-k-c0x00ffffff-no-rj</v>
      </c>
      <c r="G550" s="67"/>
      <c r="H550" s="71" t="s">
        <v>2975</v>
      </c>
      <c r="I550" s="72"/>
      <c r="J550" s="72" t="s">
        <v>159</v>
      </c>
      <c r="K550" s="71" t="s">
        <v>2975</v>
      </c>
      <c r="L550" s="75">
        <v>1</v>
      </c>
      <c r="M550" s="76">
        <v>7629.11376953125</v>
      </c>
      <c r="N550" s="76">
        <v>4643.39453125</v>
      </c>
      <c r="O550" s="77"/>
      <c r="P550" s="78"/>
      <c r="Q550" s="78"/>
      <c r="R550" s="90"/>
      <c r="S550" s="49">
        <v>0</v>
      </c>
      <c r="T550" s="49">
        <v>1</v>
      </c>
      <c r="U550" s="50">
        <v>0</v>
      </c>
      <c r="V550" s="50">
        <v>0.20049</v>
      </c>
      <c r="W550" s="51"/>
      <c r="X550" s="51"/>
      <c r="Y550" s="51"/>
      <c r="Z550" s="50"/>
      <c r="AA550" s="73">
        <v>550</v>
      </c>
      <c r="AB550" s="73"/>
      <c r="AC550" s="74"/>
      <c r="AD550" s="81" t="s">
        <v>2975</v>
      </c>
      <c r="AE550" s="81" t="s">
        <v>3203</v>
      </c>
      <c r="AF550" s="81"/>
      <c r="AG550" s="81"/>
      <c r="AH550" s="81"/>
      <c r="AI550" s="81" t="s">
        <v>3346</v>
      </c>
      <c r="AJ550" s="88">
        <v>40674.640185185184</v>
      </c>
      <c r="AK550" s="86" t="str">
        <f>HYPERLINK("https://yt3.ggpht.com/v_HlEqDyRNRVtqF9qratMf8Z8ZvYVS26im8k6df0WKiho5wrMIno4aN3lVRgdNj4abOuvmx7a7o=s88-c-k-c0x00ffffff-no-rj")</f>
        <v>https://yt3.ggpht.com/v_HlEqDyRNRVtqF9qratMf8Z8ZvYVS26im8k6df0WKiho5wrMIno4aN3lVRgdNj4abOuvmx7a7o=s88-c-k-c0x00ffffff-no-rj</v>
      </c>
      <c r="AL550" s="81">
        <v>149767</v>
      </c>
      <c r="AM550" s="81">
        <v>0</v>
      </c>
      <c r="AN550" s="81">
        <v>718</v>
      </c>
      <c r="AO550" s="81" t="b">
        <v>0</v>
      </c>
      <c r="AP550" s="81">
        <v>67</v>
      </c>
      <c r="AQ550" s="81"/>
      <c r="AR550" s="81"/>
      <c r="AS550" s="81" t="s">
        <v>3378</v>
      </c>
      <c r="AT550" s="86" t="str">
        <f>HYPERLINK("https://www.youtube.com/channel/UC4ca4MzLajWp2EeXvx8lQwQ")</f>
        <v>https://www.youtube.com/channel/UC4ca4MzLajWp2EeXvx8lQwQ</v>
      </c>
      <c r="AU550" s="81" t="str">
        <f>REPLACE(INDEX(GroupVertices[Group],MATCH("~"&amp;Vertices[[#This Row],[Vertex]],GroupVertices[Vertex],0)),1,1,"")</f>
        <v>5</v>
      </c>
      <c r="AV550" s="49"/>
      <c r="AW550" s="49"/>
      <c r="AX550" s="49"/>
      <c r="AY550" s="49"/>
      <c r="AZ550" s="49"/>
      <c r="BA550" s="49"/>
      <c r="BB550" s="117" t="s">
        <v>4211</v>
      </c>
      <c r="BC550" s="117" t="s">
        <v>4211</v>
      </c>
      <c r="BD550" s="117" t="s">
        <v>4897</v>
      </c>
      <c r="BE550" s="117" t="s">
        <v>4897</v>
      </c>
      <c r="BF550" s="2"/>
      <c r="BG550" s="3"/>
      <c r="BH550" s="3"/>
      <c r="BI550" s="3"/>
      <c r="BJ550" s="3"/>
    </row>
    <row r="551" spans="1:62" ht="15">
      <c r="A551" s="66" t="s">
        <v>743</v>
      </c>
      <c r="B551" s="67"/>
      <c r="C551" s="67"/>
      <c r="D551" s="68">
        <v>50</v>
      </c>
      <c r="E551" s="70"/>
      <c r="F551" s="105" t="str">
        <f>HYPERLINK("https://yt3.ggpht.com/ytc/AIf8zZS60T9TJd2xH8_zzzDmGcpae-Bjlx5AuhyftDVV=s88-c-k-c0x00ffffff-no-rj")</f>
        <v>https://yt3.ggpht.com/ytc/AIf8zZS60T9TJd2xH8_zzzDmGcpae-Bjlx5AuhyftDVV=s88-c-k-c0x00ffffff-no-rj</v>
      </c>
      <c r="G551" s="67"/>
      <c r="H551" s="71" t="s">
        <v>2976</v>
      </c>
      <c r="I551" s="72"/>
      <c r="J551" s="72" t="s">
        <v>159</v>
      </c>
      <c r="K551" s="71" t="s">
        <v>2976</v>
      </c>
      <c r="L551" s="75">
        <v>1</v>
      </c>
      <c r="M551" s="76">
        <v>7402.19287109375</v>
      </c>
      <c r="N551" s="76">
        <v>3813.654296875</v>
      </c>
      <c r="O551" s="77"/>
      <c r="P551" s="78"/>
      <c r="Q551" s="78"/>
      <c r="R551" s="90"/>
      <c r="S551" s="49">
        <v>0</v>
      </c>
      <c r="T551" s="49">
        <v>1</v>
      </c>
      <c r="U551" s="50">
        <v>0</v>
      </c>
      <c r="V551" s="50">
        <v>0.20049</v>
      </c>
      <c r="W551" s="51"/>
      <c r="X551" s="51"/>
      <c r="Y551" s="51"/>
      <c r="Z551" s="50"/>
      <c r="AA551" s="73">
        <v>551</v>
      </c>
      <c r="AB551" s="73"/>
      <c r="AC551" s="74"/>
      <c r="AD551" s="81" t="s">
        <v>2976</v>
      </c>
      <c r="AE551" s="81"/>
      <c r="AF551" s="81"/>
      <c r="AG551" s="81"/>
      <c r="AH551" s="81"/>
      <c r="AI551" s="81" t="s">
        <v>2209</v>
      </c>
      <c r="AJ551" s="88">
        <v>41715.955555555556</v>
      </c>
      <c r="AK551" s="86" t="str">
        <f>HYPERLINK("https://yt3.ggpht.com/ytc/AIf8zZS60T9TJd2xH8_zzzDmGcpae-Bjlx5AuhyftDVV=s88-c-k-c0x00ffffff-no-rj")</f>
        <v>https://yt3.ggpht.com/ytc/AIf8zZS60T9TJd2xH8_zzzDmGcpae-Bjlx5AuhyftDVV=s88-c-k-c0x00ffffff-no-rj</v>
      </c>
      <c r="AL551" s="81">
        <v>0</v>
      </c>
      <c r="AM551" s="81">
        <v>0</v>
      </c>
      <c r="AN551" s="81">
        <v>0</v>
      </c>
      <c r="AO551" s="81" t="b">
        <v>0</v>
      </c>
      <c r="AP551" s="81">
        <v>0</v>
      </c>
      <c r="AQ551" s="81"/>
      <c r="AR551" s="81"/>
      <c r="AS551" s="81" t="s">
        <v>3378</v>
      </c>
      <c r="AT551" s="86" t="str">
        <f>HYPERLINK("https://www.youtube.com/channel/UCZyGCssNuaH5dHZtaPncv4g")</f>
        <v>https://www.youtube.com/channel/UCZyGCssNuaH5dHZtaPncv4g</v>
      </c>
      <c r="AU551" s="81" t="str">
        <f>REPLACE(INDEX(GroupVertices[Group],MATCH("~"&amp;Vertices[[#This Row],[Vertex]],GroupVertices[Vertex],0)),1,1,"")</f>
        <v>5</v>
      </c>
      <c r="AV551" s="49"/>
      <c r="AW551" s="49"/>
      <c r="AX551" s="49"/>
      <c r="AY551" s="49"/>
      <c r="AZ551" s="49"/>
      <c r="BA551" s="49"/>
      <c r="BB551" s="117" t="s">
        <v>4212</v>
      </c>
      <c r="BC551" s="117" t="s">
        <v>4212</v>
      </c>
      <c r="BD551" s="117" t="s">
        <v>4898</v>
      </c>
      <c r="BE551" s="117" t="s">
        <v>4898</v>
      </c>
      <c r="BF551" s="2"/>
      <c r="BG551" s="3"/>
      <c r="BH551" s="3"/>
      <c r="BI551" s="3"/>
      <c r="BJ551" s="3"/>
    </row>
    <row r="552" spans="1:62" ht="15">
      <c r="A552" s="66" t="s">
        <v>744</v>
      </c>
      <c r="B552" s="67"/>
      <c r="C552" s="67"/>
      <c r="D552" s="68">
        <v>50</v>
      </c>
      <c r="E552" s="70"/>
      <c r="F552" s="105" t="str">
        <f>HYPERLINK("https://yt3.ggpht.com/ytc/AIf8zZRoOEh4EulAwl2n9MmImgEORt1OMh3voteK2o8OcoSayUFX28cUA9eXRLiNbniK=s88-c-k-c0x00ffffff-no-rj")</f>
        <v>https://yt3.ggpht.com/ytc/AIf8zZRoOEh4EulAwl2n9MmImgEORt1OMh3voteK2o8OcoSayUFX28cUA9eXRLiNbniK=s88-c-k-c0x00ffffff-no-rj</v>
      </c>
      <c r="G552" s="67"/>
      <c r="H552" s="71" t="s">
        <v>2977</v>
      </c>
      <c r="I552" s="72"/>
      <c r="J552" s="72" t="s">
        <v>159</v>
      </c>
      <c r="K552" s="71" t="s">
        <v>2977</v>
      </c>
      <c r="L552" s="75">
        <v>1</v>
      </c>
      <c r="M552" s="76">
        <v>6864.61328125</v>
      </c>
      <c r="N552" s="76">
        <v>5495.12744140625</v>
      </c>
      <c r="O552" s="77"/>
      <c r="P552" s="78"/>
      <c r="Q552" s="78"/>
      <c r="R552" s="90"/>
      <c r="S552" s="49">
        <v>0</v>
      </c>
      <c r="T552" s="49">
        <v>1</v>
      </c>
      <c r="U552" s="50">
        <v>0</v>
      </c>
      <c r="V552" s="50">
        <v>0.20049</v>
      </c>
      <c r="W552" s="51"/>
      <c r="X552" s="51"/>
      <c r="Y552" s="51"/>
      <c r="Z552" s="50"/>
      <c r="AA552" s="73">
        <v>552</v>
      </c>
      <c r="AB552" s="73"/>
      <c r="AC552" s="74"/>
      <c r="AD552" s="81" t="s">
        <v>2977</v>
      </c>
      <c r="AE552" s="81"/>
      <c r="AF552" s="81"/>
      <c r="AG552" s="81"/>
      <c r="AH552" s="81"/>
      <c r="AI552" s="81" t="s">
        <v>2210</v>
      </c>
      <c r="AJ552" s="88">
        <v>43824.57592592593</v>
      </c>
      <c r="AK552" s="86" t="str">
        <f>HYPERLINK("https://yt3.ggpht.com/ytc/AIf8zZRoOEh4EulAwl2n9MmImgEORt1OMh3voteK2o8OcoSayUFX28cUA9eXRLiNbniK=s88-c-k-c0x00ffffff-no-rj")</f>
        <v>https://yt3.ggpht.com/ytc/AIf8zZRoOEh4EulAwl2n9MmImgEORt1OMh3voteK2o8OcoSayUFX28cUA9eXRLiNbniK=s88-c-k-c0x00ffffff-no-rj</v>
      </c>
      <c r="AL552" s="81">
        <v>0</v>
      </c>
      <c r="AM552" s="81">
        <v>0</v>
      </c>
      <c r="AN552" s="81">
        <v>4</v>
      </c>
      <c r="AO552" s="81" t="b">
        <v>0</v>
      </c>
      <c r="AP552" s="81">
        <v>0</v>
      </c>
      <c r="AQ552" s="81"/>
      <c r="AR552" s="81"/>
      <c r="AS552" s="81" t="s">
        <v>3378</v>
      </c>
      <c r="AT552" s="86" t="str">
        <f>HYPERLINK("https://www.youtube.com/channel/UCK6Zr4YF9bRrG60qD5spc2Q")</f>
        <v>https://www.youtube.com/channel/UCK6Zr4YF9bRrG60qD5spc2Q</v>
      </c>
      <c r="AU552" s="81" t="str">
        <f>REPLACE(INDEX(GroupVertices[Group],MATCH("~"&amp;Vertices[[#This Row],[Vertex]],GroupVertices[Vertex],0)),1,1,"")</f>
        <v>5</v>
      </c>
      <c r="AV552" s="49"/>
      <c r="AW552" s="49"/>
      <c r="AX552" s="49"/>
      <c r="AY552" s="49"/>
      <c r="AZ552" s="49"/>
      <c r="BA552" s="49"/>
      <c r="BB552" s="117" t="s">
        <v>4213</v>
      </c>
      <c r="BC552" s="117" t="s">
        <v>4213</v>
      </c>
      <c r="BD552" s="117" t="s">
        <v>4899</v>
      </c>
      <c r="BE552" s="117" t="s">
        <v>4899</v>
      </c>
      <c r="BF552" s="2"/>
      <c r="BG552" s="3"/>
      <c r="BH552" s="3"/>
      <c r="BI552" s="3"/>
      <c r="BJ552" s="3"/>
    </row>
    <row r="553" spans="1:62" ht="15">
      <c r="A553" s="66" t="s">
        <v>745</v>
      </c>
      <c r="B553" s="67"/>
      <c r="C553" s="67"/>
      <c r="D553" s="68">
        <v>50</v>
      </c>
      <c r="E553" s="70"/>
      <c r="F553" s="105" t="str">
        <f>HYPERLINK("https://yt3.ggpht.com/YngFrshqqUtyWQYI59MgJi4-5tJYlbzdtapEh7WaXCUzvds3xTts7-OfVvNWVx-QCpw9r-sPew=s88-c-k-c0x00ffffff-no-rj")</f>
        <v>https://yt3.ggpht.com/YngFrshqqUtyWQYI59MgJi4-5tJYlbzdtapEh7WaXCUzvds3xTts7-OfVvNWVx-QCpw9r-sPew=s88-c-k-c0x00ffffff-no-rj</v>
      </c>
      <c r="G553" s="67"/>
      <c r="H553" s="71" t="s">
        <v>2978</v>
      </c>
      <c r="I553" s="72"/>
      <c r="J553" s="72" t="s">
        <v>159</v>
      </c>
      <c r="K553" s="71" t="s">
        <v>2978</v>
      </c>
      <c r="L553" s="75">
        <v>1</v>
      </c>
      <c r="M553" s="76">
        <v>7412.60888671875</v>
      </c>
      <c r="N553" s="76">
        <v>5524.15185546875</v>
      </c>
      <c r="O553" s="77"/>
      <c r="P553" s="78"/>
      <c r="Q553" s="78"/>
      <c r="R553" s="90"/>
      <c r="S553" s="49">
        <v>0</v>
      </c>
      <c r="T553" s="49">
        <v>1</v>
      </c>
      <c r="U553" s="50">
        <v>0</v>
      </c>
      <c r="V553" s="50">
        <v>0.20049</v>
      </c>
      <c r="W553" s="51"/>
      <c r="X553" s="51"/>
      <c r="Y553" s="51"/>
      <c r="Z553" s="50"/>
      <c r="AA553" s="73">
        <v>553</v>
      </c>
      <c r="AB553" s="73"/>
      <c r="AC553" s="74"/>
      <c r="AD553" s="81" t="s">
        <v>2978</v>
      </c>
      <c r="AE553" s="81"/>
      <c r="AF553" s="81"/>
      <c r="AG553" s="81"/>
      <c r="AH553" s="81"/>
      <c r="AI553" s="81" t="s">
        <v>2211</v>
      </c>
      <c r="AJ553" s="88">
        <v>42984.066400462965</v>
      </c>
      <c r="AK553" s="86" t="str">
        <f>HYPERLINK("https://yt3.ggpht.com/YngFrshqqUtyWQYI59MgJi4-5tJYlbzdtapEh7WaXCUzvds3xTts7-OfVvNWVx-QCpw9r-sPew=s88-c-k-c0x00ffffff-no-rj")</f>
        <v>https://yt3.ggpht.com/YngFrshqqUtyWQYI59MgJi4-5tJYlbzdtapEh7WaXCUzvds3xTts7-OfVvNWVx-QCpw9r-sPew=s88-c-k-c0x00ffffff-no-rj</v>
      </c>
      <c r="AL553" s="81">
        <v>0</v>
      </c>
      <c r="AM553" s="81">
        <v>0</v>
      </c>
      <c r="AN553" s="81">
        <v>1</v>
      </c>
      <c r="AO553" s="81" t="b">
        <v>0</v>
      </c>
      <c r="AP553" s="81">
        <v>0</v>
      </c>
      <c r="AQ553" s="81"/>
      <c r="AR553" s="81"/>
      <c r="AS553" s="81" t="s">
        <v>3378</v>
      </c>
      <c r="AT553" s="86" t="str">
        <f>HYPERLINK("https://www.youtube.com/channel/UCk76R1VS-zjDxsg2AorjWTg")</f>
        <v>https://www.youtube.com/channel/UCk76R1VS-zjDxsg2AorjWTg</v>
      </c>
      <c r="AU553" s="81" t="str">
        <f>REPLACE(INDEX(GroupVertices[Group],MATCH("~"&amp;Vertices[[#This Row],[Vertex]],GroupVertices[Vertex],0)),1,1,"")</f>
        <v>5</v>
      </c>
      <c r="AV553" s="49"/>
      <c r="AW553" s="49"/>
      <c r="AX553" s="49"/>
      <c r="AY553" s="49"/>
      <c r="AZ553" s="49"/>
      <c r="BA553" s="49"/>
      <c r="BB553" s="117" t="s">
        <v>4214</v>
      </c>
      <c r="BC553" s="117" t="s">
        <v>4214</v>
      </c>
      <c r="BD553" s="117" t="s">
        <v>4900</v>
      </c>
      <c r="BE553" s="117" t="s">
        <v>4900</v>
      </c>
      <c r="BF553" s="2"/>
      <c r="BG553" s="3"/>
      <c r="BH553" s="3"/>
      <c r="BI553" s="3"/>
      <c r="BJ553" s="3"/>
    </row>
    <row r="554" spans="1:62" ht="15">
      <c r="A554" s="66" t="s">
        <v>746</v>
      </c>
      <c r="B554" s="67"/>
      <c r="C554" s="67"/>
      <c r="D554" s="68">
        <v>50</v>
      </c>
      <c r="E554" s="70"/>
      <c r="F554" s="105" t="str">
        <f>HYPERLINK("https://yt3.ggpht.com/ytc/AIf8zZRtj12OgqycFKLrwrV2MMrYvDj-uO-IYbO_FHodzVetRtt0w0a87nMQbIYZk-pH=s88-c-k-c0x00ffffff-no-rj")</f>
        <v>https://yt3.ggpht.com/ytc/AIf8zZRtj12OgqycFKLrwrV2MMrYvDj-uO-IYbO_FHodzVetRtt0w0a87nMQbIYZk-pH=s88-c-k-c0x00ffffff-no-rj</v>
      </c>
      <c r="G554" s="67"/>
      <c r="H554" s="71" t="s">
        <v>2979</v>
      </c>
      <c r="I554" s="72"/>
      <c r="J554" s="72" t="s">
        <v>159</v>
      </c>
      <c r="K554" s="71" t="s">
        <v>2979</v>
      </c>
      <c r="L554" s="75">
        <v>1</v>
      </c>
      <c r="M554" s="76">
        <v>6614.873046875</v>
      </c>
      <c r="N554" s="76">
        <v>1475.507568359375</v>
      </c>
      <c r="O554" s="77"/>
      <c r="P554" s="78"/>
      <c r="Q554" s="78"/>
      <c r="R554" s="90"/>
      <c r="S554" s="49">
        <v>0</v>
      </c>
      <c r="T554" s="49">
        <v>1</v>
      </c>
      <c r="U554" s="50">
        <v>0</v>
      </c>
      <c r="V554" s="50">
        <v>0.20049</v>
      </c>
      <c r="W554" s="51"/>
      <c r="X554" s="51"/>
      <c r="Y554" s="51"/>
      <c r="Z554" s="50"/>
      <c r="AA554" s="73">
        <v>554</v>
      </c>
      <c r="AB554" s="73"/>
      <c r="AC554" s="74"/>
      <c r="AD554" s="81" t="s">
        <v>2979</v>
      </c>
      <c r="AE554" s="81"/>
      <c r="AF554" s="81"/>
      <c r="AG554" s="81"/>
      <c r="AH554" s="81"/>
      <c r="AI554" s="81" t="s">
        <v>2212</v>
      </c>
      <c r="AJ554" s="88">
        <v>45184.01398148148</v>
      </c>
      <c r="AK554" s="86" t="str">
        <f>HYPERLINK("https://yt3.ggpht.com/ytc/AIf8zZRtj12OgqycFKLrwrV2MMrYvDj-uO-IYbO_FHodzVetRtt0w0a87nMQbIYZk-pH=s88-c-k-c0x00ffffff-no-rj")</f>
        <v>https://yt3.ggpht.com/ytc/AIf8zZRtj12OgqycFKLrwrV2MMrYvDj-uO-IYbO_FHodzVetRtt0w0a87nMQbIYZk-pH=s88-c-k-c0x00ffffff-no-rj</v>
      </c>
      <c r="AL554" s="81">
        <v>102</v>
      </c>
      <c r="AM554" s="81">
        <v>0</v>
      </c>
      <c r="AN554" s="81">
        <v>14</v>
      </c>
      <c r="AO554" s="81" t="b">
        <v>0</v>
      </c>
      <c r="AP554" s="81">
        <v>15</v>
      </c>
      <c r="AQ554" s="81"/>
      <c r="AR554" s="81"/>
      <c r="AS554" s="81" t="s">
        <v>3378</v>
      </c>
      <c r="AT554" s="86" t="str">
        <f>HYPERLINK("https://www.youtube.com/channel/UCyQcnzgVX6AdyjrsCuM0bag")</f>
        <v>https://www.youtube.com/channel/UCyQcnzgVX6AdyjrsCuM0bag</v>
      </c>
      <c r="AU554" s="81" t="str">
        <f>REPLACE(INDEX(GroupVertices[Group],MATCH("~"&amp;Vertices[[#This Row],[Vertex]],GroupVertices[Vertex],0)),1,1,"")</f>
        <v>5</v>
      </c>
      <c r="AV554" s="49"/>
      <c r="AW554" s="49"/>
      <c r="AX554" s="49"/>
      <c r="AY554" s="49"/>
      <c r="AZ554" s="49"/>
      <c r="BA554" s="49"/>
      <c r="BB554" s="117" t="s">
        <v>3818</v>
      </c>
      <c r="BC554" s="117" t="s">
        <v>3818</v>
      </c>
      <c r="BD554" s="117" t="s">
        <v>2423</v>
      </c>
      <c r="BE554" s="117" t="s">
        <v>2423</v>
      </c>
      <c r="BF554" s="2"/>
      <c r="BG554" s="3"/>
      <c r="BH554" s="3"/>
      <c r="BI554" s="3"/>
      <c r="BJ554" s="3"/>
    </row>
    <row r="555" spans="1:62" ht="15">
      <c r="A555" s="66" t="s">
        <v>747</v>
      </c>
      <c r="B555" s="67"/>
      <c r="C555" s="67"/>
      <c r="D555" s="68">
        <v>50</v>
      </c>
      <c r="E555" s="70"/>
      <c r="F555" s="105" t="str">
        <f>HYPERLINK("https://yt3.ggpht.com/ytc/AIf8zZRIUZe-J3KmKD48uKK6s6BCUjDbDDu26_rGpHXJhLcpow7JApvehcdM5fvHaOKe=s88-c-k-c0x00ffffff-no-rj")</f>
        <v>https://yt3.ggpht.com/ytc/AIf8zZRIUZe-J3KmKD48uKK6s6BCUjDbDDu26_rGpHXJhLcpow7JApvehcdM5fvHaOKe=s88-c-k-c0x00ffffff-no-rj</v>
      </c>
      <c r="G555" s="67"/>
      <c r="H555" s="71" t="s">
        <v>2980</v>
      </c>
      <c r="I555" s="72"/>
      <c r="J555" s="72" t="s">
        <v>159</v>
      </c>
      <c r="K555" s="71" t="s">
        <v>2980</v>
      </c>
      <c r="L555" s="75">
        <v>1</v>
      </c>
      <c r="M555" s="76">
        <v>6794.8935546875</v>
      </c>
      <c r="N555" s="76">
        <v>4212.1884765625</v>
      </c>
      <c r="O555" s="77"/>
      <c r="P555" s="78"/>
      <c r="Q555" s="78"/>
      <c r="R555" s="90"/>
      <c r="S555" s="49">
        <v>0</v>
      </c>
      <c r="T555" s="49">
        <v>1</v>
      </c>
      <c r="U555" s="50">
        <v>0</v>
      </c>
      <c r="V555" s="50">
        <v>0.20049</v>
      </c>
      <c r="W555" s="51"/>
      <c r="X555" s="51"/>
      <c r="Y555" s="51"/>
      <c r="Z555" s="50"/>
      <c r="AA555" s="73">
        <v>555</v>
      </c>
      <c r="AB555" s="73"/>
      <c r="AC555" s="74"/>
      <c r="AD555" s="81" t="s">
        <v>2980</v>
      </c>
      <c r="AE555" s="81"/>
      <c r="AF555" s="81"/>
      <c r="AG555" s="81"/>
      <c r="AH555" s="81"/>
      <c r="AI555" s="81" t="s">
        <v>2213</v>
      </c>
      <c r="AJ555" s="88">
        <v>45124.88730324074</v>
      </c>
      <c r="AK555" s="86" t="str">
        <f>HYPERLINK("https://yt3.ggpht.com/ytc/AIf8zZRIUZe-J3KmKD48uKK6s6BCUjDbDDu26_rGpHXJhLcpow7JApvehcdM5fvHaOKe=s88-c-k-c0x00ffffff-no-rj")</f>
        <v>https://yt3.ggpht.com/ytc/AIf8zZRIUZe-J3KmKD48uKK6s6BCUjDbDDu26_rGpHXJhLcpow7JApvehcdM5fvHaOKe=s88-c-k-c0x00ffffff-no-rj</v>
      </c>
      <c r="AL555" s="81">
        <v>0</v>
      </c>
      <c r="AM555" s="81">
        <v>0</v>
      </c>
      <c r="AN555" s="81">
        <v>0</v>
      </c>
      <c r="AO555" s="81" t="b">
        <v>0</v>
      </c>
      <c r="AP555" s="81">
        <v>0</v>
      </c>
      <c r="AQ555" s="81"/>
      <c r="AR555" s="81"/>
      <c r="AS555" s="81" t="s">
        <v>3378</v>
      </c>
      <c r="AT555" s="86" t="str">
        <f>HYPERLINK("https://www.youtube.com/channel/UCYGwpY4IPQAtIuIV6PKnKWw")</f>
        <v>https://www.youtube.com/channel/UCYGwpY4IPQAtIuIV6PKnKWw</v>
      </c>
      <c r="AU555" s="81" t="str">
        <f>REPLACE(INDEX(GroupVertices[Group],MATCH("~"&amp;Vertices[[#This Row],[Vertex]],GroupVertices[Vertex],0)),1,1,"")</f>
        <v>5</v>
      </c>
      <c r="AV555" s="49"/>
      <c r="AW555" s="49"/>
      <c r="AX555" s="49"/>
      <c r="AY555" s="49"/>
      <c r="AZ555" s="49"/>
      <c r="BA555" s="49"/>
      <c r="BB555" s="117" t="s">
        <v>4215</v>
      </c>
      <c r="BC555" s="117" t="s">
        <v>4375</v>
      </c>
      <c r="BD555" s="117" t="s">
        <v>4901</v>
      </c>
      <c r="BE555" s="117" t="s">
        <v>4901</v>
      </c>
      <c r="BF555" s="2"/>
      <c r="BG555" s="3"/>
      <c r="BH555" s="3"/>
      <c r="BI555" s="3"/>
      <c r="BJ555" s="3"/>
    </row>
    <row r="556" spans="1:62" ht="15">
      <c r="A556" s="66" t="s">
        <v>748</v>
      </c>
      <c r="B556" s="67"/>
      <c r="C556" s="67"/>
      <c r="D556" s="68">
        <v>50</v>
      </c>
      <c r="E556" s="70"/>
      <c r="F556" s="105" t="str">
        <f>HYPERLINK("https://yt3.ggpht.com/ytc/AIf8zZRHS5vuvCGw-6H2dJByBj7zj86GqxH6q3EwKvpj=s88-c-k-c0x00ffffff-no-rj")</f>
        <v>https://yt3.ggpht.com/ytc/AIf8zZRHS5vuvCGw-6H2dJByBj7zj86GqxH6q3EwKvpj=s88-c-k-c0x00ffffff-no-rj</v>
      </c>
      <c r="G556" s="67"/>
      <c r="H556" s="71" t="s">
        <v>2981</v>
      </c>
      <c r="I556" s="72"/>
      <c r="J556" s="72" t="s">
        <v>159</v>
      </c>
      <c r="K556" s="71" t="s">
        <v>2981</v>
      </c>
      <c r="L556" s="75">
        <v>1</v>
      </c>
      <c r="M556" s="76">
        <v>6308.23681640625</v>
      </c>
      <c r="N556" s="76">
        <v>2484.369873046875</v>
      </c>
      <c r="O556" s="77"/>
      <c r="P556" s="78"/>
      <c r="Q556" s="78"/>
      <c r="R556" s="90"/>
      <c r="S556" s="49">
        <v>0</v>
      </c>
      <c r="T556" s="49">
        <v>1</v>
      </c>
      <c r="U556" s="50">
        <v>0</v>
      </c>
      <c r="V556" s="50">
        <v>0.20049</v>
      </c>
      <c r="W556" s="51"/>
      <c r="X556" s="51"/>
      <c r="Y556" s="51"/>
      <c r="Z556" s="50"/>
      <c r="AA556" s="73">
        <v>556</v>
      </c>
      <c r="AB556" s="73"/>
      <c r="AC556" s="74"/>
      <c r="AD556" s="81" t="s">
        <v>2981</v>
      </c>
      <c r="AE556" s="81" t="s">
        <v>3204</v>
      </c>
      <c r="AF556" s="81"/>
      <c r="AG556" s="81"/>
      <c r="AH556" s="81"/>
      <c r="AI556" s="81" t="s">
        <v>3347</v>
      </c>
      <c r="AJ556" s="88">
        <v>42557.751435185186</v>
      </c>
      <c r="AK556" s="86" t="str">
        <f>HYPERLINK("https://yt3.ggpht.com/ytc/AIf8zZRHS5vuvCGw-6H2dJByBj7zj86GqxH6q3EwKvpj=s88-c-k-c0x00ffffff-no-rj")</f>
        <v>https://yt3.ggpht.com/ytc/AIf8zZRHS5vuvCGw-6H2dJByBj7zj86GqxH6q3EwKvpj=s88-c-k-c0x00ffffff-no-rj</v>
      </c>
      <c r="AL556" s="81">
        <v>70903</v>
      </c>
      <c r="AM556" s="81">
        <v>0</v>
      </c>
      <c r="AN556" s="81">
        <v>527</v>
      </c>
      <c r="AO556" s="81" t="b">
        <v>0</v>
      </c>
      <c r="AP556" s="81">
        <v>79</v>
      </c>
      <c r="AQ556" s="81"/>
      <c r="AR556" s="81"/>
      <c r="AS556" s="81" t="s">
        <v>3378</v>
      </c>
      <c r="AT556" s="86" t="str">
        <f>HYPERLINK("https://www.youtube.com/channel/UC_7I24RfRdWcifKv0Dij7SQ")</f>
        <v>https://www.youtube.com/channel/UC_7I24RfRdWcifKv0Dij7SQ</v>
      </c>
      <c r="AU556" s="81" t="str">
        <f>REPLACE(INDEX(GroupVertices[Group],MATCH("~"&amp;Vertices[[#This Row],[Vertex]],GroupVertices[Vertex],0)),1,1,"")</f>
        <v>5</v>
      </c>
      <c r="AV556" s="49"/>
      <c r="AW556" s="49"/>
      <c r="AX556" s="49"/>
      <c r="AY556" s="49"/>
      <c r="AZ556" s="49"/>
      <c r="BA556" s="49"/>
      <c r="BB556" s="117" t="s">
        <v>4216</v>
      </c>
      <c r="BC556" s="117" t="s">
        <v>4216</v>
      </c>
      <c r="BD556" s="117" t="s">
        <v>4902</v>
      </c>
      <c r="BE556" s="117" t="s">
        <v>4902</v>
      </c>
      <c r="BF556" s="2"/>
      <c r="BG556" s="3"/>
      <c r="BH556" s="3"/>
      <c r="BI556" s="3"/>
      <c r="BJ556" s="3"/>
    </row>
    <row r="557" spans="1:62" ht="15">
      <c r="A557" s="66" t="s">
        <v>749</v>
      </c>
      <c r="B557" s="67"/>
      <c r="C557" s="67"/>
      <c r="D557" s="68">
        <v>50</v>
      </c>
      <c r="E557" s="70"/>
      <c r="F557" s="105" t="str">
        <f>HYPERLINK("https://yt3.ggpht.com/ytc/AIf8zZSmXnEVWXli1di2c1ZNNpNZkHbvObL7wzxhTZ2OSStSWIZiKJtXvRqPtxqduyHm=s88-c-k-c0x00ffffff-no-rj")</f>
        <v>https://yt3.ggpht.com/ytc/AIf8zZSmXnEVWXli1di2c1ZNNpNZkHbvObL7wzxhTZ2OSStSWIZiKJtXvRqPtxqduyHm=s88-c-k-c0x00ffffff-no-rj</v>
      </c>
      <c r="G557" s="67"/>
      <c r="H557" s="71" t="s">
        <v>2982</v>
      </c>
      <c r="I557" s="72"/>
      <c r="J557" s="72" t="s">
        <v>159</v>
      </c>
      <c r="K557" s="71" t="s">
        <v>2982</v>
      </c>
      <c r="L557" s="75">
        <v>1</v>
      </c>
      <c r="M557" s="76">
        <v>6240.79638671875</v>
      </c>
      <c r="N557" s="76">
        <v>1774.1434326171875</v>
      </c>
      <c r="O557" s="77"/>
      <c r="P557" s="78"/>
      <c r="Q557" s="78"/>
      <c r="R557" s="90"/>
      <c r="S557" s="49">
        <v>0</v>
      </c>
      <c r="T557" s="49">
        <v>1</v>
      </c>
      <c r="U557" s="50">
        <v>0</v>
      </c>
      <c r="V557" s="50">
        <v>0.20049</v>
      </c>
      <c r="W557" s="51"/>
      <c r="X557" s="51"/>
      <c r="Y557" s="51"/>
      <c r="Z557" s="50"/>
      <c r="AA557" s="73">
        <v>557</v>
      </c>
      <c r="AB557" s="73"/>
      <c r="AC557" s="74"/>
      <c r="AD557" s="81" t="s">
        <v>2982</v>
      </c>
      <c r="AE557" s="81"/>
      <c r="AF557" s="81"/>
      <c r="AG557" s="81"/>
      <c r="AH557" s="81"/>
      <c r="AI557" s="81" t="s">
        <v>3348</v>
      </c>
      <c r="AJ557" s="88">
        <v>45200.472037037034</v>
      </c>
      <c r="AK557" s="86" t="str">
        <f>HYPERLINK("https://yt3.ggpht.com/ytc/AIf8zZSmXnEVWXli1di2c1ZNNpNZkHbvObL7wzxhTZ2OSStSWIZiKJtXvRqPtxqduyHm=s88-c-k-c0x00ffffff-no-rj")</f>
        <v>https://yt3.ggpht.com/ytc/AIf8zZSmXnEVWXli1di2c1ZNNpNZkHbvObL7wzxhTZ2OSStSWIZiKJtXvRqPtxqduyHm=s88-c-k-c0x00ffffff-no-rj</v>
      </c>
      <c r="AL557" s="81">
        <v>0</v>
      </c>
      <c r="AM557" s="81">
        <v>0</v>
      </c>
      <c r="AN557" s="81">
        <v>1</v>
      </c>
      <c r="AO557" s="81" t="b">
        <v>0</v>
      </c>
      <c r="AP557" s="81">
        <v>0</v>
      </c>
      <c r="AQ557" s="81"/>
      <c r="AR557" s="81"/>
      <c r="AS557" s="81" t="s">
        <v>3378</v>
      </c>
      <c r="AT557" s="86" t="str">
        <f>HYPERLINK("https://www.youtube.com/channel/UCHLxf9I0oZ8Zpjjb5871BLg")</f>
        <v>https://www.youtube.com/channel/UCHLxf9I0oZ8Zpjjb5871BLg</v>
      </c>
      <c r="AU557" s="81" t="str">
        <f>REPLACE(INDEX(GroupVertices[Group],MATCH("~"&amp;Vertices[[#This Row],[Vertex]],GroupVertices[Vertex],0)),1,1,"")</f>
        <v>5</v>
      </c>
      <c r="AV557" s="49"/>
      <c r="AW557" s="49"/>
      <c r="AX557" s="49"/>
      <c r="AY557" s="49"/>
      <c r="AZ557" s="49"/>
      <c r="BA557" s="49"/>
      <c r="BB557" s="117" t="s">
        <v>4217</v>
      </c>
      <c r="BC557" s="117" t="s">
        <v>4217</v>
      </c>
      <c r="BD557" s="117" t="s">
        <v>4903</v>
      </c>
      <c r="BE557" s="117" t="s">
        <v>4903</v>
      </c>
      <c r="BF557" s="2"/>
      <c r="BG557" s="3"/>
      <c r="BH557" s="3"/>
      <c r="BI557" s="3"/>
      <c r="BJ557" s="3"/>
    </row>
    <row r="558" spans="1:62" ht="15">
      <c r="A558" s="66" t="s">
        <v>750</v>
      </c>
      <c r="B558" s="67"/>
      <c r="C558" s="67"/>
      <c r="D558" s="68">
        <v>50</v>
      </c>
      <c r="E558" s="70"/>
      <c r="F558" s="105" t="str">
        <f>HYPERLINK("https://yt3.ggpht.com/QNGsERuR8vzxPoK6Kswe65X7NBqApsrQVPJmLmt4hJdKcCRRuhA9JldQGfjNxbbRG1id4MGygA=s88-c-k-c0x00ffffff-no-rj")</f>
        <v>https://yt3.ggpht.com/QNGsERuR8vzxPoK6Kswe65X7NBqApsrQVPJmLmt4hJdKcCRRuhA9JldQGfjNxbbRG1id4MGygA=s88-c-k-c0x00ffffff-no-rj</v>
      </c>
      <c r="G558" s="67"/>
      <c r="H558" s="71" t="s">
        <v>2983</v>
      </c>
      <c r="I558" s="72"/>
      <c r="J558" s="72" t="s">
        <v>159</v>
      </c>
      <c r="K558" s="71" t="s">
        <v>2983</v>
      </c>
      <c r="L558" s="75">
        <v>1</v>
      </c>
      <c r="M558" s="76">
        <v>7172.29345703125</v>
      </c>
      <c r="N558" s="76">
        <v>5609.1953125</v>
      </c>
      <c r="O558" s="77"/>
      <c r="P558" s="78"/>
      <c r="Q558" s="78"/>
      <c r="R558" s="90"/>
      <c r="S558" s="49">
        <v>0</v>
      </c>
      <c r="T558" s="49">
        <v>1</v>
      </c>
      <c r="U558" s="50">
        <v>0</v>
      </c>
      <c r="V558" s="50">
        <v>0.20049</v>
      </c>
      <c r="W558" s="51"/>
      <c r="X558" s="51"/>
      <c r="Y558" s="51"/>
      <c r="Z558" s="50"/>
      <c r="AA558" s="73">
        <v>558</v>
      </c>
      <c r="AB558" s="73"/>
      <c r="AC558" s="74"/>
      <c r="AD558" s="81" t="s">
        <v>2983</v>
      </c>
      <c r="AE558" s="81"/>
      <c r="AF558" s="81"/>
      <c r="AG558" s="81"/>
      <c r="AH558" s="81"/>
      <c r="AI558" s="81" t="s">
        <v>3349</v>
      </c>
      <c r="AJ558" s="88">
        <v>45189.69810185185</v>
      </c>
      <c r="AK558" s="86" t="str">
        <f>HYPERLINK("https://yt3.ggpht.com/QNGsERuR8vzxPoK6Kswe65X7NBqApsrQVPJmLmt4hJdKcCRRuhA9JldQGfjNxbbRG1id4MGygA=s88-c-k-c0x00ffffff-no-rj")</f>
        <v>https://yt3.ggpht.com/QNGsERuR8vzxPoK6Kswe65X7NBqApsrQVPJmLmt4hJdKcCRRuhA9JldQGfjNxbbRG1id4MGygA=s88-c-k-c0x00ffffff-no-rj</v>
      </c>
      <c r="AL558" s="81">
        <v>0</v>
      </c>
      <c r="AM558" s="81">
        <v>0</v>
      </c>
      <c r="AN558" s="81">
        <v>0</v>
      </c>
      <c r="AO558" s="81" t="b">
        <v>0</v>
      </c>
      <c r="AP558" s="81">
        <v>0</v>
      </c>
      <c r="AQ558" s="81"/>
      <c r="AR558" s="81"/>
      <c r="AS558" s="81" t="s">
        <v>3378</v>
      </c>
      <c r="AT558" s="86" t="str">
        <f>HYPERLINK("https://www.youtube.com/channel/UC6u4tPECLB4EawEgtGtg9rA")</f>
        <v>https://www.youtube.com/channel/UC6u4tPECLB4EawEgtGtg9rA</v>
      </c>
      <c r="AU558" s="81" t="str">
        <f>REPLACE(INDEX(GroupVertices[Group],MATCH("~"&amp;Vertices[[#This Row],[Vertex]],GroupVertices[Vertex],0)),1,1,"")</f>
        <v>5</v>
      </c>
      <c r="AV558" s="49"/>
      <c r="AW558" s="49"/>
      <c r="AX558" s="49"/>
      <c r="AY558" s="49"/>
      <c r="AZ558" s="49"/>
      <c r="BA558" s="49"/>
      <c r="BB558" s="117" t="s">
        <v>4218</v>
      </c>
      <c r="BC558" s="117" t="s">
        <v>4218</v>
      </c>
      <c r="BD558" s="117" t="s">
        <v>4904</v>
      </c>
      <c r="BE558" s="117" t="s">
        <v>4904</v>
      </c>
      <c r="BF558" s="2"/>
      <c r="BG558" s="3"/>
      <c r="BH558" s="3"/>
      <c r="BI558" s="3"/>
      <c r="BJ558" s="3"/>
    </row>
    <row r="559" spans="1:62" ht="15">
      <c r="A559" s="66" t="s">
        <v>751</v>
      </c>
      <c r="B559" s="67"/>
      <c r="C559" s="67"/>
      <c r="D559" s="68">
        <v>50</v>
      </c>
      <c r="E559" s="70"/>
      <c r="F559" s="105" t="str">
        <f>HYPERLINK("https://yt3.ggpht.com/ytc/AIf8zZSYbdJ3MnRaKP8DuoN6tUNbmAQYqTF0gdENHA=s88-c-k-c0x00ffffff-no-rj")</f>
        <v>https://yt3.ggpht.com/ytc/AIf8zZSYbdJ3MnRaKP8DuoN6tUNbmAQYqTF0gdENHA=s88-c-k-c0x00ffffff-no-rj</v>
      </c>
      <c r="G559" s="67"/>
      <c r="H559" s="71" t="s">
        <v>2984</v>
      </c>
      <c r="I559" s="72"/>
      <c r="J559" s="72" t="s">
        <v>159</v>
      </c>
      <c r="K559" s="71" t="s">
        <v>2984</v>
      </c>
      <c r="L559" s="75">
        <v>1</v>
      </c>
      <c r="M559" s="76">
        <v>7383.7314453125</v>
      </c>
      <c r="N559" s="76">
        <v>2666.30078125</v>
      </c>
      <c r="O559" s="77"/>
      <c r="P559" s="78"/>
      <c r="Q559" s="78"/>
      <c r="R559" s="90"/>
      <c r="S559" s="49">
        <v>0</v>
      </c>
      <c r="T559" s="49">
        <v>1</v>
      </c>
      <c r="U559" s="50">
        <v>0</v>
      </c>
      <c r="V559" s="50">
        <v>0.20049</v>
      </c>
      <c r="W559" s="51"/>
      <c r="X559" s="51"/>
      <c r="Y559" s="51"/>
      <c r="Z559" s="50"/>
      <c r="AA559" s="73">
        <v>559</v>
      </c>
      <c r="AB559" s="73"/>
      <c r="AC559" s="74"/>
      <c r="AD559" s="81" t="s">
        <v>2984</v>
      </c>
      <c r="AE559" s="81"/>
      <c r="AF559" s="81"/>
      <c r="AG559" s="81"/>
      <c r="AH559" s="81"/>
      <c r="AI559" s="81" t="s">
        <v>2217</v>
      </c>
      <c r="AJ559" s="88">
        <v>42294.27780092593</v>
      </c>
      <c r="AK559" s="86" t="str">
        <f>HYPERLINK("https://yt3.ggpht.com/ytc/AIf8zZSYbdJ3MnRaKP8DuoN6tUNbmAQYqTF0gdENHA=s88-c-k-c0x00ffffff-no-rj")</f>
        <v>https://yt3.ggpht.com/ytc/AIf8zZSYbdJ3MnRaKP8DuoN6tUNbmAQYqTF0gdENHA=s88-c-k-c0x00ffffff-no-rj</v>
      </c>
      <c r="AL559" s="81">
        <v>0</v>
      </c>
      <c r="AM559" s="81">
        <v>0</v>
      </c>
      <c r="AN559" s="81">
        <v>0</v>
      </c>
      <c r="AO559" s="81" t="b">
        <v>0</v>
      </c>
      <c r="AP559" s="81">
        <v>0</v>
      </c>
      <c r="AQ559" s="81"/>
      <c r="AR559" s="81"/>
      <c r="AS559" s="81" t="s">
        <v>3378</v>
      </c>
      <c r="AT559" s="86" t="str">
        <f>HYPERLINK("https://www.youtube.com/channel/UCntcDrXPC6VM5-wm5EoD3jA")</f>
        <v>https://www.youtube.com/channel/UCntcDrXPC6VM5-wm5EoD3jA</v>
      </c>
      <c r="AU559" s="81" t="str">
        <f>REPLACE(INDEX(GroupVertices[Group],MATCH("~"&amp;Vertices[[#This Row],[Vertex]],GroupVertices[Vertex],0)),1,1,"")</f>
        <v>5</v>
      </c>
      <c r="AV559" s="49"/>
      <c r="AW559" s="49"/>
      <c r="AX559" s="49"/>
      <c r="AY559" s="49"/>
      <c r="AZ559" s="49"/>
      <c r="BA559" s="49"/>
      <c r="BB559" s="117" t="s">
        <v>4219</v>
      </c>
      <c r="BC559" s="117" t="s">
        <v>4219</v>
      </c>
      <c r="BD559" s="117" t="s">
        <v>4905</v>
      </c>
      <c r="BE559" s="117" t="s">
        <v>4905</v>
      </c>
      <c r="BF559" s="2"/>
      <c r="BG559" s="3"/>
      <c r="BH559" s="3"/>
      <c r="BI559" s="3"/>
      <c r="BJ559" s="3"/>
    </row>
    <row r="560" spans="1:62" ht="15">
      <c r="A560" s="66" t="s">
        <v>752</v>
      </c>
      <c r="B560" s="67"/>
      <c r="C560" s="67"/>
      <c r="D560" s="68">
        <v>50</v>
      </c>
      <c r="E560" s="70"/>
      <c r="F560" s="105" t="str">
        <f>HYPERLINK("https://yt3.ggpht.com/ytc/AIf8zZQR9MoFXRdSZALLclHU0YX1dPeG1ZPsG1-sNQ=s88-c-k-c0x00ffffff-no-rj")</f>
        <v>https://yt3.ggpht.com/ytc/AIf8zZQR9MoFXRdSZALLclHU0YX1dPeG1ZPsG1-sNQ=s88-c-k-c0x00ffffff-no-rj</v>
      </c>
      <c r="G560" s="67"/>
      <c r="H560" s="71" t="s">
        <v>2985</v>
      </c>
      <c r="I560" s="72"/>
      <c r="J560" s="72" t="s">
        <v>159</v>
      </c>
      <c r="K560" s="71" t="s">
        <v>2985</v>
      </c>
      <c r="L560" s="75">
        <v>1</v>
      </c>
      <c r="M560" s="76">
        <v>7289.2978515625</v>
      </c>
      <c r="N560" s="76">
        <v>909.0751953125</v>
      </c>
      <c r="O560" s="77"/>
      <c r="P560" s="78"/>
      <c r="Q560" s="78"/>
      <c r="R560" s="90"/>
      <c r="S560" s="49">
        <v>0</v>
      </c>
      <c r="T560" s="49">
        <v>1</v>
      </c>
      <c r="U560" s="50">
        <v>0</v>
      </c>
      <c r="V560" s="50">
        <v>0.20049</v>
      </c>
      <c r="W560" s="51"/>
      <c r="X560" s="51"/>
      <c r="Y560" s="51"/>
      <c r="Z560" s="50"/>
      <c r="AA560" s="73">
        <v>560</v>
      </c>
      <c r="AB560" s="73"/>
      <c r="AC560" s="74"/>
      <c r="AD560" s="81" t="s">
        <v>2985</v>
      </c>
      <c r="AE560" s="81"/>
      <c r="AF560" s="81"/>
      <c r="AG560" s="81"/>
      <c r="AH560" s="81"/>
      <c r="AI560" s="81" t="s">
        <v>2218</v>
      </c>
      <c r="AJ560" s="88">
        <v>40953.869409722225</v>
      </c>
      <c r="AK560" s="86" t="str">
        <f>HYPERLINK("https://yt3.ggpht.com/ytc/AIf8zZQR9MoFXRdSZALLclHU0YX1dPeG1ZPsG1-sNQ=s88-c-k-c0x00ffffff-no-rj")</f>
        <v>https://yt3.ggpht.com/ytc/AIf8zZQR9MoFXRdSZALLclHU0YX1dPeG1ZPsG1-sNQ=s88-c-k-c0x00ffffff-no-rj</v>
      </c>
      <c r="AL560" s="81">
        <v>0</v>
      </c>
      <c r="AM560" s="81">
        <v>0</v>
      </c>
      <c r="AN560" s="81">
        <v>0</v>
      </c>
      <c r="AO560" s="81" t="b">
        <v>0</v>
      </c>
      <c r="AP560" s="81">
        <v>0</v>
      </c>
      <c r="AQ560" s="81"/>
      <c r="AR560" s="81"/>
      <c r="AS560" s="81" t="s">
        <v>3378</v>
      </c>
      <c r="AT560" s="86" t="str">
        <f>HYPERLINK("https://www.youtube.com/channel/UCPCqA8g1xsdob2WCfpvmijQ")</f>
        <v>https://www.youtube.com/channel/UCPCqA8g1xsdob2WCfpvmijQ</v>
      </c>
      <c r="AU560" s="81" t="str">
        <f>REPLACE(INDEX(GroupVertices[Group],MATCH("~"&amp;Vertices[[#This Row],[Vertex]],GroupVertices[Vertex],0)),1,1,"")</f>
        <v>5</v>
      </c>
      <c r="AV560" s="49"/>
      <c r="AW560" s="49"/>
      <c r="AX560" s="49"/>
      <c r="AY560" s="49"/>
      <c r="AZ560" s="49"/>
      <c r="BA560" s="49"/>
      <c r="BB560" s="117" t="s">
        <v>4220</v>
      </c>
      <c r="BC560" s="117" t="s">
        <v>4220</v>
      </c>
      <c r="BD560" s="117" t="s">
        <v>4906</v>
      </c>
      <c r="BE560" s="117" t="s">
        <v>4906</v>
      </c>
      <c r="BF560" s="2"/>
      <c r="BG560" s="3"/>
      <c r="BH560" s="3"/>
      <c r="BI560" s="3"/>
      <c r="BJ560" s="3"/>
    </row>
    <row r="561" spans="1:62" ht="15">
      <c r="A561" s="66" t="s">
        <v>753</v>
      </c>
      <c r="B561" s="67"/>
      <c r="C561" s="67"/>
      <c r="D561" s="68">
        <v>50</v>
      </c>
      <c r="E561" s="70"/>
      <c r="F561" s="105" t="str">
        <f>HYPERLINK("https://yt3.ggpht.com/ytc/AIf8zZSR9Ueu8JPjufGA5sJJEZPn-jpxdoi4AYrlgQ=s88-c-k-c0x00ffffff-no-rj")</f>
        <v>https://yt3.ggpht.com/ytc/AIf8zZSR9Ueu8JPjufGA5sJJEZPn-jpxdoi4AYrlgQ=s88-c-k-c0x00ffffff-no-rj</v>
      </c>
      <c r="G561" s="67"/>
      <c r="H561" s="71" t="s">
        <v>2986</v>
      </c>
      <c r="I561" s="72"/>
      <c r="J561" s="72" t="s">
        <v>159</v>
      </c>
      <c r="K561" s="71" t="s">
        <v>2986</v>
      </c>
      <c r="L561" s="75">
        <v>1</v>
      </c>
      <c r="M561" s="76">
        <v>7694.4951171875</v>
      </c>
      <c r="N561" s="76">
        <v>3271.336669921875</v>
      </c>
      <c r="O561" s="77"/>
      <c r="P561" s="78"/>
      <c r="Q561" s="78"/>
      <c r="R561" s="90"/>
      <c r="S561" s="49">
        <v>0</v>
      </c>
      <c r="T561" s="49">
        <v>1</v>
      </c>
      <c r="U561" s="50">
        <v>0</v>
      </c>
      <c r="V561" s="50">
        <v>0.20049</v>
      </c>
      <c r="W561" s="51"/>
      <c r="X561" s="51"/>
      <c r="Y561" s="51"/>
      <c r="Z561" s="50"/>
      <c r="AA561" s="73">
        <v>561</v>
      </c>
      <c r="AB561" s="73"/>
      <c r="AC561" s="74"/>
      <c r="AD561" s="81" t="s">
        <v>2986</v>
      </c>
      <c r="AE561" s="81"/>
      <c r="AF561" s="81"/>
      <c r="AG561" s="81"/>
      <c r="AH561" s="81"/>
      <c r="AI561" s="81" t="s">
        <v>2219</v>
      </c>
      <c r="AJ561" s="88">
        <v>40817.60565972222</v>
      </c>
      <c r="AK561" s="86" t="str">
        <f>HYPERLINK("https://yt3.ggpht.com/ytc/AIf8zZSR9Ueu8JPjufGA5sJJEZPn-jpxdoi4AYrlgQ=s88-c-k-c0x00ffffff-no-rj")</f>
        <v>https://yt3.ggpht.com/ytc/AIf8zZSR9Ueu8JPjufGA5sJJEZPn-jpxdoi4AYrlgQ=s88-c-k-c0x00ffffff-no-rj</v>
      </c>
      <c r="AL561" s="81">
        <v>0</v>
      </c>
      <c r="AM561" s="81">
        <v>0</v>
      </c>
      <c r="AN561" s="81">
        <v>4</v>
      </c>
      <c r="AO561" s="81" t="b">
        <v>0</v>
      </c>
      <c r="AP561" s="81">
        <v>0</v>
      </c>
      <c r="AQ561" s="81"/>
      <c r="AR561" s="81"/>
      <c r="AS561" s="81" t="s">
        <v>3378</v>
      </c>
      <c r="AT561" s="86" t="str">
        <f>HYPERLINK("https://www.youtube.com/channel/UCHEh2MnE0-KnGcZUoOKYmzQ")</f>
        <v>https://www.youtube.com/channel/UCHEh2MnE0-KnGcZUoOKYmzQ</v>
      </c>
      <c r="AU561" s="81" t="str">
        <f>REPLACE(INDEX(GroupVertices[Group],MATCH("~"&amp;Vertices[[#This Row],[Vertex]],GroupVertices[Vertex],0)),1,1,"")</f>
        <v>5</v>
      </c>
      <c r="AV561" s="49"/>
      <c r="AW561" s="49"/>
      <c r="AX561" s="49"/>
      <c r="AY561" s="49"/>
      <c r="AZ561" s="49"/>
      <c r="BA561" s="49"/>
      <c r="BB561" s="117" t="s">
        <v>4221</v>
      </c>
      <c r="BC561" s="117" t="s">
        <v>4221</v>
      </c>
      <c r="BD561" s="117" t="s">
        <v>4907</v>
      </c>
      <c r="BE561" s="117" t="s">
        <v>4907</v>
      </c>
      <c r="BF561" s="2"/>
      <c r="BG561" s="3"/>
      <c r="BH561" s="3"/>
      <c r="BI561" s="3"/>
      <c r="BJ561" s="3"/>
    </row>
    <row r="562" spans="1:62" ht="15">
      <c r="A562" s="66" t="s">
        <v>754</v>
      </c>
      <c r="B562" s="67"/>
      <c r="C562" s="67"/>
      <c r="D562" s="68">
        <v>50</v>
      </c>
      <c r="E562" s="70"/>
      <c r="F562" s="105" t="str">
        <f>HYPERLINK("https://yt3.ggpht.com/ytc/AIf8zZTvWxM2raKzQE3MNSqHb4ivRHLVhYUjlHyX3Q=s88-c-k-c0x00ffffff-no-rj")</f>
        <v>https://yt3.ggpht.com/ytc/AIf8zZTvWxM2raKzQE3MNSqHb4ivRHLVhYUjlHyX3Q=s88-c-k-c0x00ffffff-no-rj</v>
      </c>
      <c r="G562" s="67"/>
      <c r="H562" s="71" t="s">
        <v>2987</v>
      </c>
      <c r="I562" s="72"/>
      <c r="J562" s="72" t="s">
        <v>159</v>
      </c>
      <c r="K562" s="71" t="s">
        <v>2987</v>
      </c>
      <c r="L562" s="75">
        <v>1</v>
      </c>
      <c r="M562" s="76">
        <v>7023.96630859375</v>
      </c>
      <c r="N562" s="76">
        <v>3820.830322265625</v>
      </c>
      <c r="O562" s="77"/>
      <c r="P562" s="78"/>
      <c r="Q562" s="78"/>
      <c r="R562" s="90"/>
      <c r="S562" s="49">
        <v>0</v>
      </c>
      <c r="T562" s="49">
        <v>1</v>
      </c>
      <c r="U562" s="50">
        <v>0</v>
      </c>
      <c r="V562" s="50">
        <v>0.20049</v>
      </c>
      <c r="W562" s="51"/>
      <c r="X562" s="51"/>
      <c r="Y562" s="51"/>
      <c r="Z562" s="50"/>
      <c r="AA562" s="73">
        <v>562</v>
      </c>
      <c r="AB562" s="73"/>
      <c r="AC562" s="74"/>
      <c r="AD562" s="81" t="s">
        <v>2987</v>
      </c>
      <c r="AE562" s="81"/>
      <c r="AF562" s="81"/>
      <c r="AG562" s="81"/>
      <c r="AH562" s="81"/>
      <c r="AI562" s="81" t="s">
        <v>2220</v>
      </c>
      <c r="AJ562" s="88">
        <v>44056.880891203706</v>
      </c>
      <c r="AK562" s="86" t="str">
        <f>HYPERLINK("https://yt3.ggpht.com/ytc/AIf8zZTvWxM2raKzQE3MNSqHb4ivRHLVhYUjlHyX3Q=s88-c-k-c0x00ffffff-no-rj")</f>
        <v>https://yt3.ggpht.com/ytc/AIf8zZTvWxM2raKzQE3MNSqHb4ivRHLVhYUjlHyX3Q=s88-c-k-c0x00ffffff-no-rj</v>
      </c>
      <c r="AL562" s="81">
        <v>0</v>
      </c>
      <c r="AM562" s="81">
        <v>0</v>
      </c>
      <c r="AN562" s="81">
        <v>0</v>
      </c>
      <c r="AO562" s="81" t="b">
        <v>0</v>
      </c>
      <c r="AP562" s="81">
        <v>0</v>
      </c>
      <c r="AQ562" s="81"/>
      <c r="AR562" s="81"/>
      <c r="AS562" s="81" t="s">
        <v>3378</v>
      </c>
      <c r="AT562" s="86" t="str">
        <f>HYPERLINK("https://www.youtube.com/channel/UCQgNOlW1vOK55tFnYnXGn7g")</f>
        <v>https://www.youtube.com/channel/UCQgNOlW1vOK55tFnYnXGn7g</v>
      </c>
      <c r="AU562" s="81" t="str">
        <f>REPLACE(INDEX(GroupVertices[Group],MATCH("~"&amp;Vertices[[#This Row],[Vertex]],GroupVertices[Vertex],0)),1,1,"")</f>
        <v>5</v>
      </c>
      <c r="AV562" s="49"/>
      <c r="AW562" s="49"/>
      <c r="AX562" s="49"/>
      <c r="AY562" s="49"/>
      <c r="AZ562" s="49"/>
      <c r="BA562" s="49"/>
      <c r="BB562" s="117" t="s">
        <v>4222</v>
      </c>
      <c r="BC562" s="117" t="s">
        <v>4222</v>
      </c>
      <c r="BD562" s="117" t="s">
        <v>4908</v>
      </c>
      <c r="BE562" s="117" t="s">
        <v>4908</v>
      </c>
      <c r="BF562" s="2"/>
      <c r="BG562" s="3"/>
      <c r="BH562" s="3"/>
      <c r="BI562" s="3"/>
      <c r="BJ562" s="3"/>
    </row>
    <row r="563" spans="1:62" ht="15">
      <c r="A563" s="66" t="s">
        <v>755</v>
      </c>
      <c r="B563" s="67"/>
      <c r="C563" s="67"/>
      <c r="D563" s="68">
        <v>50</v>
      </c>
      <c r="E563" s="70"/>
      <c r="F563" s="105" t="str">
        <f>HYPERLINK("https://yt3.ggpht.com/ytc/AIf8zZRSNJ4u5QcJ7EnA88rqcL0jkQ1igpiXkxIX_A=s88-c-k-c0x00ffffff-no-rj")</f>
        <v>https://yt3.ggpht.com/ytc/AIf8zZRSNJ4u5QcJ7EnA88rqcL0jkQ1igpiXkxIX_A=s88-c-k-c0x00ffffff-no-rj</v>
      </c>
      <c r="G563" s="67"/>
      <c r="H563" s="71" t="s">
        <v>2988</v>
      </c>
      <c r="I563" s="72"/>
      <c r="J563" s="72" t="s">
        <v>159</v>
      </c>
      <c r="K563" s="71" t="s">
        <v>2988</v>
      </c>
      <c r="L563" s="75">
        <v>1</v>
      </c>
      <c r="M563" s="76">
        <v>7417.09765625</v>
      </c>
      <c r="N563" s="76">
        <v>4977.68359375</v>
      </c>
      <c r="O563" s="77"/>
      <c r="P563" s="78"/>
      <c r="Q563" s="78"/>
      <c r="R563" s="90"/>
      <c r="S563" s="49">
        <v>0</v>
      </c>
      <c r="T563" s="49">
        <v>1</v>
      </c>
      <c r="U563" s="50">
        <v>0</v>
      </c>
      <c r="V563" s="50">
        <v>0.20049</v>
      </c>
      <c r="W563" s="51"/>
      <c r="X563" s="51"/>
      <c r="Y563" s="51"/>
      <c r="Z563" s="50"/>
      <c r="AA563" s="73">
        <v>563</v>
      </c>
      <c r="AB563" s="73"/>
      <c r="AC563" s="74"/>
      <c r="AD563" s="81" t="s">
        <v>2988</v>
      </c>
      <c r="AE563" s="81"/>
      <c r="AF563" s="81"/>
      <c r="AG563" s="81"/>
      <c r="AH563" s="81"/>
      <c r="AI563" s="81" t="s">
        <v>3350</v>
      </c>
      <c r="AJ563" s="88">
        <v>40825.24921296296</v>
      </c>
      <c r="AK563" s="86" t="str">
        <f>HYPERLINK("https://yt3.ggpht.com/ytc/AIf8zZRSNJ4u5QcJ7EnA88rqcL0jkQ1igpiXkxIX_A=s88-c-k-c0x00ffffff-no-rj")</f>
        <v>https://yt3.ggpht.com/ytc/AIf8zZRSNJ4u5QcJ7EnA88rqcL0jkQ1igpiXkxIX_A=s88-c-k-c0x00ffffff-no-rj</v>
      </c>
      <c r="AL563" s="81">
        <v>0</v>
      </c>
      <c r="AM563" s="81">
        <v>0</v>
      </c>
      <c r="AN563" s="81">
        <v>0</v>
      </c>
      <c r="AO563" s="81" t="b">
        <v>0</v>
      </c>
      <c r="AP563" s="81">
        <v>0</v>
      </c>
      <c r="AQ563" s="81"/>
      <c r="AR563" s="81"/>
      <c r="AS563" s="81" t="s">
        <v>3378</v>
      </c>
      <c r="AT563" s="86" t="str">
        <f>HYPERLINK("https://www.youtube.com/channel/UCxsM10039D4xZ5Pmfo9M29g")</f>
        <v>https://www.youtube.com/channel/UCxsM10039D4xZ5Pmfo9M29g</v>
      </c>
      <c r="AU563" s="81" t="str">
        <f>REPLACE(INDEX(GroupVertices[Group],MATCH("~"&amp;Vertices[[#This Row],[Vertex]],GroupVertices[Vertex],0)),1,1,"")</f>
        <v>5</v>
      </c>
      <c r="AV563" s="49"/>
      <c r="AW563" s="49"/>
      <c r="AX563" s="49"/>
      <c r="AY563" s="49"/>
      <c r="AZ563" s="49"/>
      <c r="BA563" s="49"/>
      <c r="BB563" s="117" t="s">
        <v>4223</v>
      </c>
      <c r="BC563" s="117" t="s">
        <v>4223</v>
      </c>
      <c r="BD563" s="117" t="s">
        <v>4909</v>
      </c>
      <c r="BE563" s="117" t="s">
        <v>4909</v>
      </c>
      <c r="BF563" s="2"/>
      <c r="BG563" s="3"/>
      <c r="BH563" s="3"/>
      <c r="BI563" s="3"/>
      <c r="BJ563" s="3"/>
    </row>
    <row r="564" spans="1:62" ht="15">
      <c r="A564" s="66" t="s">
        <v>756</v>
      </c>
      <c r="B564" s="67"/>
      <c r="C564" s="67"/>
      <c r="D564" s="68">
        <v>50</v>
      </c>
      <c r="E564" s="70"/>
      <c r="F564" s="105" t="str">
        <f>HYPERLINK("https://yt3.ggpht.com/ytc/AIf8zZQSqGPGT8OGKlW2HRRmS9EI3lm81SVno3S188Ue1w=s88-c-k-c0x00ffffff-no-rj")</f>
        <v>https://yt3.ggpht.com/ytc/AIf8zZQSqGPGT8OGKlW2HRRmS9EI3lm81SVno3S188Ue1w=s88-c-k-c0x00ffffff-no-rj</v>
      </c>
      <c r="G564" s="67"/>
      <c r="H564" s="71" t="s">
        <v>2989</v>
      </c>
      <c r="I564" s="72"/>
      <c r="J564" s="72" t="s">
        <v>159</v>
      </c>
      <c r="K564" s="71" t="s">
        <v>2989</v>
      </c>
      <c r="L564" s="75">
        <v>1</v>
      </c>
      <c r="M564" s="76">
        <v>7452.39697265625</v>
      </c>
      <c r="N564" s="76">
        <v>1509.8382568359375</v>
      </c>
      <c r="O564" s="77"/>
      <c r="P564" s="78"/>
      <c r="Q564" s="78"/>
      <c r="R564" s="90"/>
      <c r="S564" s="49">
        <v>0</v>
      </c>
      <c r="T564" s="49">
        <v>1</v>
      </c>
      <c r="U564" s="50">
        <v>0</v>
      </c>
      <c r="V564" s="50">
        <v>0.20049</v>
      </c>
      <c r="W564" s="51"/>
      <c r="X564" s="51"/>
      <c r="Y564" s="51"/>
      <c r="Z564" s="50"/>
      <c r="AA564" s="73">
        <v>564</v>
      </c>
      <c r="AB564" s="73"/>
      <c r="AC564" s="74"/>
      <c r="AD564" s="81" t="s">
        <v>2989</v>
      </c>
      <c r="AE564" s="81"/>
      <c r="AF564" s="81"/>
      <c r="AG564" s="81"/>
      <c r="AH564" s="81"/>
      <c r="AI564" s="81" t="s">
        <v>2222</v>
      </c>
      <c r="AJ564" s="88">
        <v>41832.16799768519</v>
      </c>
      <c r="AK564" s="86" t="str">
        <f>HYPERLINK("https://yt3.ggpht.com/ytc/AIf8zZQSqGPGT8OGKlW2HRRmS9EI3lm81SVno3S188Ue1w=s88-c-k-c0x00ffffff-no-rj")</f>
        <v>https://yt3.ggpht.com/ytc/AIf8zZQSqGPGT8OGKlW2HRRmS9EI3lm81SVno3S188Ue1w=s88-c-k-c0x00ffffff-no-rj</v>
      </c>
      <c r="AL564" s="81">
        <v>213</v>
      </c>
      <c r="AM564" s="81">
        <v>0</v>
      </c>
      <c r="AN564" s="81">
        <v>9</v>
      </c>
      <c r="AO564" s="81" t="b">
        <v>0</v>
      </c>
      <c r="AP564" s="81">
        <v>1</v>
      </c>
      <c r="AQ564" s="81"/>
      <c r="AR564" s="81"/>
      <c r="AS564" s="81" t="s">
        <v>3378</v>
      </c>
      <c r="AT564" s="86" t="str">
        <f>HYPERLINK("https://www.youtube.com/channel/UCp6h1jr5GhR3z93KAOkBNUg")</f>
        <v>https://www.youtube.com/channel/UCp6h1jr5GhR3z93KAOkBNUg</v>
      </c>
      <c r="AU564" s="81" t="str">
        <f>REPLACE(INDEX(GroupVertices[Group],MATCH("~"&amp;Vertices[[#This Row],[Vertex]],GroupVertices[Vertex],0)),1,1,"")</f>
        <v>5</v>
      </c>
      <c r="AV564" s="49"/>
      <c r="AW564" s="49"/>
      <c r="AX564" s="49"/>
      <c r="AY564" s="49"/>
      <c r="AZ564" s="49"/>
      <c r="BA564" s="49"/>
      <c r="BB564" s="117" t="s">
        <v>4224</v>
      </c>
      <c r="BC564" s="117" t="s">
        <v>4224</v>
      </c>
      <c r="BD564" s="117" t="s">
        <v>2423</v>
      </c>
      <c r="BE564" s="117" t="s">
        <v>2423</v>
      </c>
      <c r="BF564" s="2"/>
      <c r="BG564" s="3"/>
      <c r="BH564" s="3"/>
      <c r="BI564" s="3"/>
      <c r="BJ564" s="3"/>
    </row>
    <row r="565" spans="1:62" ht="15">
      <c r="A565" s="66" t="s">
        <v>757</v>
      </c>
      <c r="B565" s="67"/>
      <c r="C565" s="67"/>
      <c r="D565" s="68">
        <v>50</v>
      </c>
      <c r="E565" s="70"/>
      <c r="F565" s="105" t="str">
        <f>HYPERLINK("https://yt3.ggpht.com/ytc/AIf8zZRW9XpbYT_NUKiGqp8XFy-6EZTA8CVWgyHXrA=s88-c-k-c0x00ffffff-no-rj")</f>
        <v>https://yt3.ggpht.com/ytc/AIf8zZRW9XpbYT_NUKiGqp8XFy-6EZTA8CVWgyHXrA=s88-c-k-c0x00ffffff-no-rj</v>
      </c>
      <c r="G565" s="67"/>
      <c r="H565" s="71" t="s">
        <v>2990</v>
      </c>
      <c r="I565" s="72"/>
      <c r="J565" s="72" t="s">
        <v>159</v>
      </c>
      <c r="K565" s="71" t="s">
        <v>2990</v>
      </c>
      <c r="L565" s="75">
        <v>1</v>
      </c>
      <c r="M565" s="76">
        <v>6395.6943359375</v>
      </c>
      <c r="N565" s="76">
        <v>3025.914794921875</v>
      </c>
      <c r="O565" s="77"/>
      <c r="P565" s="78"/>
      <c r="Q565" s="78"/>
      <c r="R565" s="90"/>
      <c r="S565" s="49">
        <v>0</v>
      </c>
      <c r="T565" s="49">
        <v>1</v>
      </c>
      <c r="U565" s="50">
        <v>0</v>
      </c>
      <c r="V565" s="50">
        <v>0.20049</v>
      </c>
      <c r="W565" s="51"/>
      <c r="X565" s="51"/>
      <c r="Y565" s="51"/>
      <c r="Z565" s="50"/>
      <c r="AA565" s="73">
        <v>565</v>
      </c>
      <c r="AB565" s="73"/>
      <c r="AC565" s="74"/>
      <c r="AD565" s="81" t="s">
        <v>2990</v>
      </c>
      <c r="AE565" s="81"/>
      <c r="AF565" s="81"/>
      <c r="AG565" s="81"/>
      <c r="AH565" s="81"/>
      <c r="AI565" s="81" t="s">
        <v>2223</v>
      </c>
      <c r="AJ565" s="88">
        <v>42844.618726851855</v>
      </c>
      <c r="AK565" s="86" t="str">
        <f>HYPERLINK("https://yt3.ggpht.com/ytc/AIf8zZRW9XpbYT_NUKiGqp8XFy-6EZTA8CVWgyHXrA=s88-c-k-c0x00ffffff-no-rj")</f>
        <v>https://yt3.ggpht.com/ytc/AIf8zZRW9XpbYT_NUKiGqp8XFy-6EZTA8CVWgyHXrA=s88-c-k-c0x00ffffff-no-rj</v>
      </c>
      <c r="AL565" s="81">
        <v>0</v>
      </c>
      <c r="AM565" s="81">
        <v>0</v>
      </c>
      <c r="AN565" s="81">
        <v>1</v>
      </c>
      <c r="AO565" s="81" t="b">
        <v>0</v>
      </c>
      <c r="AP565" s="81">
        <v>0</v>
      </c>
      <c r="AQ565" s="81"/>
      <c r="AR565" s="81"/>
      <c r="AS565" s="81" t="s">
        <v>3378</v>
      </c>
      <c r="AT565" s="86" t="str">
        <f>HYPERLINK("https://www.youtube.com/channel/UC193fs4PiY7pS5gSisIFNcg")</f>
        <v>https://www.youtube.com/channel/UC193fs4PiY7pS5gSisIFNcg</v>
      </c>
      <c r="AU565" s="81" t="str">
        <f>REPLACE(INDEX(GroupVertices[Group],MATCH("~"&amp;Vertices[[#This Row],[Vertex]],GroupVertices[Vertex],0)),1,1,"")</f>
        <v>5</v>
      </c>
      <c r="AV565" s="49"/>
      <c r="AW565" s="49"/>
      <c r="AX565" s="49"/>
      <c r="AY565" s="49"/>
      <c r="AZ565" s="49"/>
      <c r="BA565" s="49"/>
      <c r="BB565" s="117" t="s">
        <v>4225</v>
      </c>
      <c r="BC565" s="117" t="s">
        <v>4225</v>
      </c>
      <c r="BD565" s="117" t="s">
        <v>4910</v>
      </c>
      <c r="BE565" s="117" t="s">
        <v>4910</v>
      </c>
      <c r="BF565" s="2"/>
      <c r="BG565" s="3"/>
      <c r="BH565" s="3"/>
      <c r="BI565" s="3"/>
      <c r="BJ565" s="3"/>
    </row>
    <row r="566" spans="1:62" ht="15">
      <c r="A566" s="66" t="s">
        <v>758</v>
      </c>
      <c r="B566" s="67"/>
      <c r="C566" s="67"/>
      <c r="D566" s="68">
        <v>50</v>
      </c>
      <c r="E566" s="70"/>
      <c r="F566" s="105" t="str">
        <f>HYPERLINK("https://yt3.ggpht.com/ytc/AIf8zZSzkH14jjcgXO5Rni_kLVkzN5pyyjoQvHtq4ECFTw=s88-c-k-c0x00ffffff-no-rj")</f>
        <v>https://yt3.ggpht.com/ytc/AIf8zZSzkH14jjcgXO5Rni_kLVkzN5pyyjoQvHtq4ECFTw=s88-c-k-c0x00ffffff-no-rj</v>
      </c>
      <c r="G566" s="67"/>
      <c r="H566" s="71" t="s">
        <v>2991</v>
      </c>
      <c r="I566" s="72"/>
      <c r="J566" s="72" t="s">
        <v>159</v>
      </c>
      <c r="K566" s="71" t="s">
        <v>2991</v>
      </c>
      <c r="L566" s="75">
        <v>1</v>
      </c>
      <c r="M566" s="76">
        <v>6293.763671875</v>
      </c>
      <c r="N566" s="76">
        <v>1203.894775390625</v>
      </c>
      <c r="O566" s="77"/>
      <c r="P566" s="78"/>
      <c r="Q566" s="78"/>
      <c r="R566" s="90"/>
      <c r="S566" s="49">
        <v>0</v>
      </c>
      <c r="T566" s="49">
        <v>1</v>
      </c>
      <c r="U566" s="50">
        <v>0</v>
      </c>
      <c r="V566" s="50">
        <v>0.20049</v>
      </c>
      <c r="W566" s="51"/>
      <c r="X566" s="51"/>
      <c r="Y566" s="51"/>
      <c r="Z566" s="50"/>
      <c r="AA566" s="73">
        <v>566</v>
      </c>
      <c r="AB566" s="73"/>
      <c r="AC566" s="74"/>
      <c r="AD566" s="81" t="s">
        <v>2991</v>
      </c>
      <c r="AE566" s="81"/>
      <c r="AF566" s="81"/>
      <c r="AG566" s="81"/>
      <c r="AH566" s="81"/>
      <c r="AI566" s="81" t="s">
        <v>3351</v>
      </c>
      <c r="AJ566" s="88">
        <v>39358.90520833333</v>
      </c>
      <c r="AK566" s="86" t="str">
        <f>HYPERLINK("https://yt3.ggpht.com/ytc/AIf8zZSzkH14jjcgXO5Rni_kLVkzN5pyyjoQvHtq4ECFTw=s88-c-k-c0x00ffffff-no-rj")</f>
        <v>https://yt3.ggpht.com/ytc/AIf8zZSzkH14jjcgXO5Rni_kLVkzN5pyyjoQvHtq4ECFTw=s88-c-k-c0x00ffffff-no-rj</v>
      </c>
      <c r="AL566" s="81">
        <v>17268</v>
      </c>
      <c r="AM566" s="81">
        <v>0</v>
      </c>
      <c r="AN566" s="81">
        <v>67</v>
      </c>
      <c r="AO566" s="81" t="b">
        <v>0</v>
      </c>
      <c r="AP566" s="81">
        <v>143</v>
      </c>
      <c r="AQ566" s="81"/>
      <c r="AR566" s="81"/>
      <c r="AS566" s="81" t="s">
        <v>3378</v>
      </c>
      <c r="AT566" s="86" t="str">
        <f>HYPERLINK("https://www.youtube.com/channel/UC-THlz4P2aQjarTTMS8bWog")</f>
        <v>https://www.youtube.com/channel/UC-THlz4P2aQjarTTMS8bWog</v>
      </c>
      <c r="AU566" s="81" t="str">
        <f>REPLACE(INDEX(GroupVertices[Group],MATCH("~"&amp;Vertices[[#This Row],[Vertex]],GroupVertices[Vertex],0)),1,1,"")</f>
        <v>5</v>
      </c>
      <c r="AV566" s="49"/>
      <c r="AW566" s="49"/>
      <c r="AX566" s="49"/>
      <c r="AY566" s="49"/>
      <c r="AZ566" s="49"/>
      <c r="BA566" s="49"/>
      <c r="BB566" s="117" t="s">
        <v>2423</v>
      </c>
      <c r="BC566" s="117" t="s">
        <v>2423</v>
      </c>
      <c r="BD566" s="117" t="s">
        <v>2423</v>
      </c>
      <c r="BE566" s="117" t="s">
        <v>2423</v>
      </c>
      <c r="BF566" s="2"/>
      <c r="BG566" s="3"/>
      <c r="BH566" s="3"/>
      <c r="BI566" s="3"/>
      <c r="BJ566" s="3"/>
    </row>
    <row r="567" spans="1:62" ht="15">
      <c r="A567" s="66" t="s">
        <v>759</v>
      </c>
      <c r="B567" s="67"/>
      <c r="C567" s="67"/>
      <c r="D567" s="68">
        <v>50</v>
      </c>
      <c r="E567" s="70"/>
      <c r="F567" s="105" t="str">
        <f>HYPERLINK("https://yt3.ggpht.com/ytc/AIf8zZSB02WB1IOdm22PL0O6ZQ7y_2YtdPhQQfPT7wpQPw=s88-c-k-c0x00ffffff-no-rj")</f>
        <v>https://yt3.ggpht.com/ytc/AIf8zZSB02WB1IOdm22PL0O6ZQ7y_2YtdPhQQfPT7wpQPw=s88-c-k-c0x00ffffff-no-rj</v>
      </c>
      <c r="G567" s="67"/>
      <c r="H567" s="71" t="s">
        <v>2992</v>
      </c>
      <c r="I567" s="72"/>
      <c r="J567" s="72" t="s">
        <v>159</v>
      </c>
      <c r="K567" s="71" t="s">
        <v>2992</v>
      </c>
      <c r="L567" s="75">
        <v>1</v>
      </c>
      <c r="M567" s="76">
        <v>6429.70361328125</v>
      </c>
      <c r="N567" s="76">
        <v>1564.5067138671875</v>
      </c>
      <c r="O567" s="77"/>
      <c r="P567" s="78"/>
      <c r="Q567" s="78"/>
      <c r="R567" s="90"/>
      <c r="S567" s="49">
        <v>0</v>
      </c>
      <c r="T567" s="49">
        <v>1</v>
      </c>
      <c r="U567" s="50">
        <v>0</v>
      </c>
      <c r="V567" s="50">
        <v>0.20049</v>
      </c>
      <c r="W567" s="51"/>
      <c r="X567" s="51"/>
      <c r="Y567" s="51"/>
      <c r="Z567" s="50"/>
      <c r="AA567" s="73">
        <v>567</v>
      </c>
      <c r="AB567" s="73"/>
      <c r="AC567" s="74"/>
      <c r="AD567" s="81" t="s">
        <v>2992</v>
      </c>
      <c r="AE567" s="81"/>
      <c r="AF567" s="81"/>
      <c r="AG567" s="81"/>
      <c r="AH567" s="81"/>
      <c r="AI567" s="81" t="s">
        <v>2225</v>
      </c>
      <c r="AJ567" s="88">
        <v>40645.800844907404</v>
      </c>
      <c r="AK567" s="86" t="str">
        <f>HYPERLINK("https://yt3.ggpht.com/ytc/AIf8zZSB02WB1IOdm22PL0O6ZQ7y_2YtdPhQQfPT7wpQPw=s88-c-k-c0x00ffffff-no-rj")</f>
        <v>https://yt3.ggpht.com/ytc/AIf8zZSB02WB1IOdm22PL0O6ZQ7y_2YtdPhQQfPT7wpQPw=s88-c-k-c0x00ffffff-no-rj</v>
      </c>
      <c r="AL567" s="81">
        <v>672</v>
      </c>
      <c r="AM567" s="81">
        <v>0</v>
      </c>
      <c r="AN567" s="81">
        <v>1</v>
      </c>
      <c r="AO567" s="81" t="b">
        <v>0</v>
      </c>
      <c r="AP567" s="81">
        <v>2</v>
      </c>
      <c r="AQ567" s="81"/>
      <c r="AR567" s="81"/>
      <c r="AS567" s="81" t="s">
        <v>3378</v>
      </c>
      <c r="AT567" s="86" t="str">
        <f>HYPERLINK("https://www.youtube.com/channel/UCdAVmaBZmEHe-CSOj1yuaIA")</f>
        <v>https://www.youtube.com/channel/UCdAVmaBZmEHe-CSOj1yuaIA</v>
      </c>
      <c r="AU567" s="81" t="str">
        <f>REPLACE(INDEX(GroupVertices[Group],MATCH("~"&amp;Vertices[[#This Row],[Vertex]],GroupVertices[Vertex],0)),1,1,"")</f>
        <v>5</v>
      </c>
      <c r="AV567" s="49"/>
      <c r="AW567" s="49"/>
      <c r="AX567" s="49"/>
      <c r="AY567" s="49"/>
      <c r="AZ567" s="49"/>
      <c r="BA567" s="49"/>
      <c r="BB567" s="117" t="s">
        <v>4226</v>
      </c>
      <c r="BC567" s="117" t="s">
        <v>4226</v>
      </c>
      <c r="BD567" s="117" t="s">
        <v>4911</v>
      </c>
      <c r="BE567" s="117" t="s">
        <v>4911</v>
      </c>
      <c r="BF567" s="2"/>
      <c r="BG567" s="3"/>
      <c r="BH567" s="3"/>
      <c r="BI567" s="3"/>
      <c r="BJ567" s="3"/>
    </row>
    <row r="568" spans="1:62" ht="15">
      <c r="A568" s="66" t="s">
        <v>760</v>
      </c>
      <c r="B568" s="67"/>
      <c r="C568" s="67"/>
      <c r="D568" s="68">
        <v>50</v>
      </c>
      <c r="E568" s="70"/>
      <c r="F568" s="105" t="str">
        <f>HYPERLINK("https://yt3.ggpht.com/ytc/AIf8zZTEgSTqJaoOC4EscNrtj9aKUFF-EbZoi8SRpoY9Cq8w1Kl3e-CFFdpa2EJkyjm_=s88-c-k-c0x00ffffff-no-rj")</f>
        <v>https://yt3.ggpht.com/ytc/AIf8zZTEgSTqJaoOC4EscNrtj9aKUFF-EbZoi8SRpoY9Cq8w1Kl3e-CFFdpa2EJkyjm_=s88-c-k-c0x00ffffff-no-rj</v>
      </c>
      <c r="G568" s="67"/>
      <c r="H568" s="71" t="s">
        <v>2993</v>
      </c>
      <c r="I568" s="72"/>
      <c r="J568" s="72" t="s">
        <v>159</v>
      </c>
      <c r="K568" s="71" t="s">
        <v>2993</v>
      </c>
      <c r="L568" s="75">
        <v>1</v>
      </c>
      <c r="M568" s="76">
        <v>6173.4365234375</v>
      </c>
      <c r="N568" s="76">
        <v>2103.859375</v>
      </c>
      <c r="O568" s="77"/>
      <c r="P568" s="78"/>
      <c r="Q568" s="78"/>
      <c r="R568" s="90"/>
      <c r="S568" s="49">
        <v>0</v>
      </c>
      <c r="T568" s="49">
        <v>1</v>
      </c>
      <c r="U568" s="50">
        <v>0</v>
      </c>
      <c r="V568" s="50">
        <v>0.20049</v>
      </c>
      <c r="W568" s="51"/>
      <c r="X568" s="51"/>
      <c r="Y568" s="51"/>
      <c r="Z568" s="50"/>
      <c r="AA568" s="73">
        <v>568</v>
      </c>
      <c r="AB568" s="73"/>
      <c r="AC568" s="74"/>
      <c r="AD568" s="81" t="s">
        <v>2993</v>
      </c>
      <c r="AE568" s="81"/>
      <c r="AF568" s="81"/>
      <c r="AG568" s="81"/>
      <c r="AH568" s="81"/>
      <c r="AI568" s="81" t="s">
        <v>2226</v>
      </c>
      <c r="AJ568" s="88">
        <v>45044.88483796296</v>
      </c>
      <c r="AK568" s="86" t="str">
        <f>HYPERLINK("https://yt3.ggpht.com/ytc/AIf8zZTEgSTqJaoOC4EscNrtj9aKUFF-EbZoi8SRpoY9Cq8w1Kl3e-CFFdpa2EJkyjm_=s88-c-k-c0x00ffffff-no-rj")</f>
        <v>https://yt3.ggpht.com/ytc/AIf8zZTEgSTqJaoOC4EscNrtj9aKUFF-EbZoi8SRpoY9Cq8w1Kl3e-CFFdpa2EJkyjm_=s88-c-k-c0x00ffffff-no-rj</v>
      </c>
      <c r="AL568" s="81">
        <v>0</v>
      </c>
      <c r="AM568" s="81">
        <v>0</v>
      </c>
      <c r="AN568" s="81">
        <v>0</v>
      </c>
      <c r="AO568" s="81" t="b">
        <v>0</v>
      </c>
      <c r="AP568" s="81">
        <v>0</v>
      </c>
      <c r="AQ568" s="81"/>
      <c r="AR568" s="81"/>
      <c r="AS568" s="81" t="s">
        <v>3378</v>
      </c>
      <c r="AT568" s="86" t="str">
        <f>HYPERLINK("https://www.youtube.com/channel/UC94CJPg1KHK0hPwdp-3ueXw")</f>
        <v>https://www.youtube.com/channel/UC94CJPg1KHK0hPwdp-3ueXw</v>
      </c>
      <c r="AU568" s="81" t="str">
        <f>REPLACE(INDEX(GroupVertices[Group],MATCH("~"&amp;Vertices[[#This Row],[Vertex]],GroupVertices[Vertex],0)),1,1,"")</f>
        <v>5</v>
      </c>
      <c r="AV568" s="49"/>
      <c r="AW568" s="49"/>
      <c r="AX568" s="49"/>
      <c r="AY568" s="49"/>
      <c r="AZ568" s="49"/>
      <c r="BA568" s="49"/>
      <c r="BB568" s="117" t="s">
        <v>4227</v>
      </c>
      <c r="BC568" s="117" t="s">
        <v>4227</v>
      </c>
      <c r="BD568" s="117" t="s">
        <v>4912</v>
      </c>
      <c r="BE568" s="117" t="s">
        <v>4912</v>
      </c>
      <c r="BF568" s="2"/>
      <c r="BG568" s="3"/>
      <c r="BH568" s="3"/>
      <c r="BI568" s="3"/>
      <c r="BJ568" s="3"/>
    </row>
    <row r="569" spans="1:62" ht="15">
      <c r="A569" s="66" t="s">
        <v>761</v>
      </c>
      <c r="B569" s="67"/>
      <c r="C569" s="67"/>
      <c r="D569" s="68">
        <v>50</v>
      </c>
      <c r="E569" s="70"/>
      <c r="F569" s="105" t="str">
        <f>HYPERLINK("https://yt3.ggpht.com/ytc/AIf8zZQvU_71_NFSCrQ-VdjtzRE9JahvKJ7fzkiVyDs_8g=s88-c-k-c0x00ffffff-no-rj")</f>
        <v>https://yt3.ggpht.com/ytc/AIf8zZQvU_71_NFSCrQ-VdjtzRE9JahvKJ7fzkiVyDs_8g=s88-c-k-c0x00ffffff-no-rj</v>
      </c>
      <c r="G569" s="67"/>
      <c r="H569" s="71" t="s">
        <v>2994</v>
      </c>
      <c r="I569" s="72"/>
      <c r="J569" s="72" t="s">
        <v>159</v>
      </c>
      <c r="K569" s="71" t="s">
        <v>2994</v>
      </c>
      <c r="L569" s="75">
        <v>1</v>
      </c>
      <c r="M569" s="76">
        <v>6427.22021484375</v>
      </c>
      <c r="N569" s="76">
        <v>855.3724365234375</v>
      </c>
      <c r="O569" s="77"/>
      <c r="P569" s="78"/>
      <c r="Q569" s="78"/>
      <c r="R569" s="90"/>
      <c r="S569" s="49">
        <v>0</v>
      </c>
      <c r="T569" s="49">
        <v>1</v>
      </c>
      <c r="U569" s="50">
        <v>0</v>
      </c>
      <c r="V569" s="50">
        <v>0.20049</v>
      </c>
      <c r="W569" s="51"/>
      <c r="X569" s="51"/>
      <c r="Y569" s="51"/>
      <c r="Z569" s="50"/>
      <c r="AA569" s="73">
        <v>569</v>
      </c>
      <c r="AB569" s="73"/>
      <c r="AC569" s="74"/>
      <c r="AD569" s="81" t="s">
        <v>2994</v>
      </c>
      <c r="AE569" s="81"/>
      <c r="AF569" s="81"/>
      <c r="AG569" s="81"/>
      <c r="AH569" s="81"/>
      <c r="AI569" s="81" t="s">
        <v>2227</v>
      </c>
      <c r="AJ569" s="88">
        <v>44153.272523148145</v>
      </c>
      <c r="AK569" s="86" t="str">
        <f>HYPERLINK("https://yt3.ggpht.com/ytc/AIf8zZQvU_71_NFSCrQ-VdjtzRE9JahvKJ7fzkiVyDs_8g=s88-c-k-c0x00ffffff-no-rj")</f>
        <v>https://yt3.ggpht.com/ytc/AIf8zZQvU_71_NFSCrQ-VdjtzRE9JahvKJ7fzkiVyDs_8g=s88-c-k-c0x00ffffff-no-rj</v>
      </c>
      <c r="AL569" s="81">
        <v>0</v>
      </c>
      <c r="AM569" s="81">
        <v>0</v>
      </c>
      <c r="AN569" s="81">
        <v>0</v>
      </c>
      <c r="AO569" s="81" t="b">
        <v>0</v>
      </c>
      <c r="AP569" s="81">
        <v>0</v>
      </c>
      <c r="AQ569" s="81"/>
      <c r="AR569" s="81"/>
      <c r="AS569" s="81" t="s">
        <v>3378</v>
      </c>
      <c r="AT569" s="86" t="str">
        <f>HYPERLINK("https://www.youtube.com/channel/UCLp8UE_LbCwUPPssjzWcszQ")</f>
        <v>https://www.youtube.com/channel/UCLp8UE_LbCwUPPssjzWcszQ</v>
      </c>
      <c r="AU569" s="81" t="str">
        <f>REPLACE(INDEX(GroupVertices[Group],MATCH("~"&amp;Vertices[[#This Row],[Vertex]],GroupVertices[Vertex],0)),1,1,"")</f>
        <v>5</v>
      </c>
      <c r="AV569" s="49"/>
      <c r="AW569" s="49"/>
      <c r="AX569" s="49"/>
      <c r="AY569" s="49"/>
      <c r="AZ569" s="49"/>
      <c r="BA569" s="49"/>
      <c r="BB569" s="117" t="s">
        <v>4228</v>
      </c>
      <c r="BC569" s="117" t="s">
        <v>4228</v>
      </c>
      <c r="BD569" s="117" t="s">
        <v>4913</v>
      </c>
      <c r="BE569" s="117" t="s">
        <v>4913</v>
      </c>
      <c r="BF569" s="2"/>
      <c r="BG569" s="3"/>
      <c r="BH569" s="3"/>
      <c r="BI569" s="3"/>
      <c r="BJ569" s="3"/>
    </row>
    <row r="570" spans="1:62" ht="15">
      <c r="A570" s="66" t="s">
        <v>762</v>
      </c>
      <c r="B570" s="67"/>
      <c r="C570" s="67"/>
      <c r="D570" s="68">
        <v>50</v>
      </c>
      <c r="E570" s="70"/>
      <c r="F570" s="105" t="str">
        <f>HYPERLINK("https://yt3.ggpht.com/KTlg4oBO8VAz-SWP0J7hskR0TF6m4ArjLNMP1Eix_gSiuU4PpGJ_vKmYoEtV-AIaww2vKR4paT4=s88-c-k-c0x00ffffff-no-rj")</f>
        <v>https://yt3.ggpht.com/KTlg4oBO8VAz-SWP0J7hskR0TF6m4ArjLNMP1Eix_gSiuU4PpGJ_vKmYoEtV-AIaww2vKR4paT4=s88-c-k-c0x00ffffff-no-rj</v>
      </c>
      <c r="G570" s="67"/>
      <c r="H570" s="71" t="s">
        <v>2995</v>
      </c>
      <c r="I570" s="72"/>
      <c r="J570" s="72" t="s">
        <v>159</v>
      </c>
      <c r="K570" s="71" t="s">
        <v>2995</v>
      </c>
      <c r="L570" s="75">
        <v>1</v>
      </c>
      <c r="M570" s="76">
        <v>6798.12158203125</v>
      </c>
      <c r="N570" s="76">
        <v>2004.4378662109375</v>
      </c>
      <c r="O570" s="77"/>
      <c r="P570" s="78"/>
      <c r="Q570" s="78"/>
      <c r="R570" s="90"/>
      <c r="S570" s="49">
        <v>0</v>
      </c>
      <c r="T570" s="49">
        <v>1</v>
      </c>
      <c r="U570" s="50">
        <v>0</v>
      </c>
      <c r="V570" s="50">
        <v>0.20049</v>
      </c>
      <c r="W570" s="51"/>
      <c r="X570" s="51"/>
      <c r="Y570" s="51"/>
      <c r="Z570" s="50"/>
      <c r="AA570" s="73">
        <v>570</v>
      </c>
      <c r="AB570" s="73"/>
      <c r="AC570" s="74"/>
      <c r="AD570" s="81" t="s">
        <v>2995</v>
      </c>
      <c r="AE570" s="81"/>
      <c r="AF570" s="81"/>
      <c r="AG570" s="81"/>
      <c r="AH570" s="81"/>
      <c r="AI570" s="81" t="s">
        <v>2228</v>
      </c>
      <c r="AJ570" s="88">
        <v>41096.55934027778</v>
      </c>
      <c r="AK570" s="86" t="str">
        <f>HYPERLINK("https://yt3.ggpht.com/KTlg4oBO8VAz-SWP0J7hskR0TF6m4ArjLNMP1Eix_gSiuU4PpGJ_vKmYoEtV-AIaww2vKR4paT4=s88-c-k-c0x00ffffff-no-rj")</f>
        <v>https://yt3.ggpht.com/KTlg4oBO8VAz-SWP0J7hskR0TF6m4ArjLNMP1Eix_gSiuU4PpGJ_vKmYoEtV-AIaww2vKR4paT4=s88-c-k-c0x00ffffff-no-rj</v>
      </c>
      <c r="AL570" s="81">
        <v>0</v>
      </c>
      <c r="AM570" s="81">
        <v>0</v>
      </c>
      <c r="AN570" s="81">
        <v>144</v>
      </c>
      <c r="AO570" s="81" t="b">
        <v>0</v>
      </c>
      <c r="AP570" s="81">
        <v>0</v>
      </c>
      <c r="AQ570" s="81"/>
      <c r="AR570" s="81"/>
      <c r="AS570" s="81" t="s">
        <v>3378</v>
      </c>
      <c r="AT570" s="86" t="str">
        <f>HYPERLINK("https://www.youtube.com/channel/UCCqW4ak5MDYgo2fbWS0I2-Q")</f>
        <v>https://www.youtube.com/channel/UCCqW4ak5MDYgo2fbWS0I2-Q</v>
      </c>
      <c r="AU570" s="81" t="str">
        <f>REPLACE(INDEX(GroupVertices[Group],MATCH("~"&amp;Vertices[[#This Row],[Vertex]],GroupVertices[Vertex],0)),1,1,"")</f>
        <v>5</v>
      </c>
      <c r="AV570" s="49"/>
      <c r="AW570" s="49"/>
      <c r="AX570" s="49"/>
      <c r="AY570" s="49"/>
      <c r="AZ570" s="49"/>
      <c r="BA570" s="49"/>
      <c r="BB570" s="117" t="s">
        <v>4229</v>
      </c>
      <c r="BC570" s="117" t="s">
        <v>4229</v>
      </c>
      <c r="BD570" s="117" t="s">
        <v>4914</v>
      </c>
      <c r="BE570" s="117" t="s">
        <v>4914</v>
      </c>
      <c r="BF570" s="2"/>
      <c r="BG570" s="3"/>
      <c r="BH570" s="3"/>
      <c r="BI570" s="3"/>
      <c r="BJ570" s="3"/>
    </row>
    <row r="571" spans="1:62" ht="15">
      <c r="A571" s="66" t="s">
        <v>763</v>
      </c>
      <c r="B571" s="67"/>
      <c r="C571" s="67"/>
      <c r="D571" s="68">
        <v>50</v>
      </c>
      <c r="E571" s="70"/>
      <c r="F571" s="105" t="str">
        <f>HYPERLINK("https://yt3.ggpht.com/ytc/AIf8zZRXjRL0PKqfd335oHQ3uPiyrbYOICX_yABtataI9utG1JYsyBuWDt85FbaFV3bF=s88-c-k-c0x00ffffff-no-rj")</f>
        <v>https://yt3.ggpht.com/ytc/AIf8zZRXjRL0PKqfd335oHQ3uPiyrbYOICX_yABtataI9utG1JYsyBuWDt85FbaFV3bF=s88-c-k-c0x00ffffff-no-rj</v>
      </c>
      <c r="G571" s="67"/>
      <c r="H571" s="71" t="s">
        <v>2996</v>
      </c>
      <c r="I571" s="72"/>
      <c r="J571" s="72" t="s">
        <v>159</v>
      </c>
      <c r="K571" s="71" t="s">
        <v>2996</v>
      </c>
      <c r="L571" s="75">
        <v>1</v>
      </c>
      <c r="M571" s="76">
        <v>7102.17626953125</v>
      </c>
      <c r="N571" s="76">
        <v>5075.89111328125</v>
      </c>
      <c r="O571" s="77"/>
      <c r="P571" s="78"/>
      <c r="Q571" s="78"/>
      <c r="R571" s="90"/>
      <c r="S571" s="49">
        <v>0</v>
      </c>
      <c r="T571" s="49">
        <v>1</v>
      </c>
      <c r="U571" s="50">
        <v>0</v>
      </c>
      <c r="V571" s="50">
        <v>0.20049</v>
      </c>
      <c r="W571" s="51"/>
      <c r="X571" s="51"/>
      <c r="Y571" s="51"/>
      <c r="Z571" s="50"/>
      <c r="AA571" s="73">
        <v>571</v>
      </c>
      <c r="AB571" s="73"/>
      <c r="AC571" s="74"/>
      <c r="AD571" s="81" t="s">
        <v>2996</v>
      </c>
      <c r="AE571" s="81"/>
      <c r="AF571" s="81"/>
      <c r="AG571" s="81"/>
      <c r="AH571" s="81"/>
      <c r="AI571" s="81" t="s">
        <v>2229</v>
      </c>
      <c r="AJ571" s="88">
        <v>45069.346967592595</v>
      </c>
      <c r="AK571" s="86" t="str">
        <f>HYPERLINK("https://yt3.ggpht.com/ytc/AIf8zZRXjRL0PKqfd335oHQ3uPiyrbYOICX_yABtataI9utG1JYsyBuWDt85FbaFV3bF=s88-c-k-c0x00ffffff-no-rj")</f>
        <v>https://yt3.ggpht.com/ytc/AIf8zZRXjRL0PKqfd335oHQ3uPiyrbYOICX_yABtataI9utG1JYsyBuWDt85FbaFV3bF=s88-c-k-c0x00ffffff-no-rj</v>
      </c>
      <c r="AL571" s="81">
        <v>0</v>
      </c>
      <c r="AM571" s="81">
        <v>0</v>
      </c>
      <c r="AN571" s="81">
        <v>4</v>
      </c>
      <c r="AO571" s="81" t="b">
        <v>0</v>
      </c>
      <c r="AP571" s="81">
        <v>0</v>
      </c>
      <c r="AQ571" s="81"/>
      <c r="AR571" s="81"/>
      <c r="AS571" s="81" t="s">
        <v>3378</v>
      </c>
      <c r="AT571" s="86" t="str">
        <f>HYPERLINK("https://www.youtube.com/channel/UCmAy3H6p5-l1I4cf6r6c-fw")</f>
        <v>https://www.youtube.com/channel/UCmAy3H6p5-l1I4cf6r6c-fw</v>
      </c>
      <c r="AU571" s="81" t="str">
        <f>REPLACE(INDEX(GroupVertices[Group],MATCH("~"&amp;Vertices[[#This Row],[Vertex]],GroupVertices[Vertex],0)),1,1,"")</f>
        <v>5</v>
      </c>
      <c r="AV571" s="49"/>
      <c r="AW571" s="49"/>
      <c r="AX571" s="49"/>
      <c r="AY571" s="49"/>
      <c r="AZ571" s="49"/>
      <c r="BA571" s="49"/>
      <c r="BB571" s="117" t="s">
        <v>4230</v>
      </c>
      <c r="BC571" s="117" t="s">
        <v>4230</v>
      </c>
      <c r="BD571" s="117" t="s">
        <v>4915</v>
      </c>
      <c r="BE571" s="117" t="s">
        <v>4915</v>
      </c>
      <c r="BF571" s="2"/>
      <c r="BG571" s="3"/>
      <c r="BH571" s="3"/>
      <c r="BI571" s="3"/>
      <c r="BJ571" s="3"/>
    </row>
    <row r="572" spans="1:62" ht="15">
      <c r="A572" s="66" t="s">
        <v>764</v>
      </c>
      <c r="B572" s="67"/>
      <c r="C572" s="67"/>
      <c r="D572" s="68">
        <v>50</v>
      </c>
      <c r="E572" s="70"/>
      <c r="F572" s="105" t="str">
        <f>HYPERLINK("https://yt3.ggpht.com/ytc/AIf8zZSl46ZzJcG6d35WuPvJ1heP3Qxr55pN7dqh5ADfgw=s88-c-k-c0x00ffffff-no-rj")</f>
        <v>https://yt3.ggpht.com/ytc/AIf8zZSl46ZzJcG6d35WuPvJ1heP3Qxr55pN7dqh5ADfgw=s88-c-k-c0x00ffffff-no-rj</v>
      </c>
      <c r="G572" s="67"/>
      <c r="H572" s="71" t="s">
        <v>2997</v>
      </c>
      <c r="I572" s="72"/>
      <c r="J572" s="72" t="s">
        <v>159</v>
      </c>
      <c r="K572" s="71" t="s">
        <v>2997</v>
      </c>
      <c r="L572" s="75">
        <v>1</v>
      </c>
      <c r="M572" s="76">
        <v>6992.2666015625</v>
      </c>
      <c r="N572" s="76">
        <v>5433.35009765625</v>
      </c>
      <c r="O572" s="77"/>
      <c r="P572" s="78"/>
      <c r="Q572" s="78"/>
      <c r="R572" s="90"/>
      <c r="S572" s="49">
        <v>0</v>
      </c>
      <c r="T572" s="49">
        <v>1</v>
      </c>
      <c r="U572" s="50">
        <v>0</v>
      </c>
      <c r="V572" s="50">
        <v>0.20049</v>
      </c>
      <c r="W572" s="51"/>
      <c r="X572" s="51"/>
      <c r="Y572" s="51"/>
      <c r="Z572" s="50"/>
      <c r="AA572" s="73">
        <v>572</v>
      </c>
      <c r="AB572" s="73"/>
      <c r="AC572" s="74"/>
      <c r="AD572" s="81" t="s">
        <v>2997</v>
      </c>
      <c r="AE572" s="81" t="s">
        <v>3205</v>
      </c>
      <c r="AF572" s="81"/>
      <c r="AG572" s="81"/>
      <c r="AH572" s="81"/>
      <c r="AI572" s="81" t="s">
        <v>2230</v>
      </c>
      <c r="AJ572" s="88">
        <v>40073.04783564815</v>
      </c>
      <c r="AK572" s="86" t="str">
        <f>HYPERLINK("https://yt3.ggpht.com/ytc/AIf8zZSl46ZzJcG6d35WuPvJ1heP3Qxr55pN7dqh5ADfgw=s88-c-k-c0x00ffffff-no-rj")</f>
        <v>https://yt3.ggpht.com/ytc/AIf8zZSl46ZzJcG6d35WuPvJ1heP3Qxr55pN7dqh5ADfgw=s88-c-k-c0x00ffffff-no-rj</v>
      </c>
      <c r="AL572" s="81">
        <v>1272</v>
      </c>
      <c r="AM572" s="81">
        <v>0</v>
      </c>
      <c r="AN572" s="81">
        <v>22</v>
      </c>
      <c r="AO572" s="81" t="b">
        <v>0</v>
      </c>
      <c r="AP572" s="81">
        <v>32</v>
      </c>
      <c r="AQ572" s="81"/>
      <c r="AR572" s="81"/>
      <c r="AS572" s="81" t="s">
        <v>3378</v>
      </c>
      <c r="AT572" s="86" t="str">
        <f>HYPERLINK("https://www.youtube.com/channel/UCkahcs8uASwEcKZ_BUmycXA")</f>
        <v>https://www.youtube.com/channel/UCkahcs8uASwEcKZ_BUmycXA</v>
      </c>
      <c r="AU572" s="81" t="str">
        <f>REPLACE(INDEX(GroupVertices[Group],MATCH("~"&amp;Vertices[[#This Row],[Vertex]],GroupVertices[Vertex],0)),1,1,"")</f>
        <v>5</v>
      </c>
      <c r="AV572" s="49"/>
      <c r="AW572" s="49"/>
      <c r="AX572" s="49"/>
      <c r="AY572" s="49"/>
      <c r="AZ572" s="49"/>
      <c r="BA572" s="49"/>
      <c r="BB572" s="117" t="s">
        <v>4231</v>
      </c>
      <c r="BC572" s="117" t="s">
        <v>4231</v>
      </c>
      <c r="BD572" s="117" t="s">
        <v>4916</v>
      </c>
      <c r="BE572" s="117" t="s">
        <v>4916</v>
      </c>
      <c r="BF572" s="2"/>
      <c r="BG572" s="3"/>
      <c r="BH572" s="3"/>
      <c r="BI572" s="3"/>
      <c r="BJ572" s="3"/>
    </row>
    <row r="573" spans="1:62" ht="15">
      <c r="A573" s="66" t="s">
        <v>765</v>
      </c>
      <c r="B573" s="67"/>
      <c r="C573" s="67"/>
      <c r="D573" s="68">
        <v>50</v>
      </c>
      <c r="E573" s="70"/>
      <c r="F573" s="105" t="str">
        <f>HYPERLINK("https://yt3.ggpht.com/ytc/AIf8zZTk36rvvyEWp1PUAeFaqnszuj_8vBGFyIOC8wsBFZIHtyk_p-5vu1amyrANeVWN=s88-c-k-c0x00ffffff-no-rj")</f>
        <v>https://yt3.ggpht.com/ytc/AIf8zZTk36rvvyEWp1PUAeFaqnszuj_8vBGFyIOC8wsBFZIHtyk_p-5vu1amyrANeVWN=s88-c-k-c0x00ffffff-no-rj</v>
      </c>
      <c r="G573" s="67"/>
      <c r="H573" s="71" t="s">
        <v>2998</v>
      </c>
      <c r="I573" s="72"/>
      <c r="J573" s="72" t="s">
        <v>159</v>
      </c>
      <c r="K573" s="71" t="s">
        <v>2998</v>
      </c>
      <c r="L573" s="75">
        <v>1</v>
      </c>
      <c r="M573" s="76">
        <v>6533.3603515625</v>
      </c>
      <c r="N573" s="76">
        <v>4506.3720703125</v>
      </c>
      <c r="O573" s="77"/>
      <c r="P573" s="78"/>
      <c r="Q573" s="78"/>
      <c r="R573" s="90"/>
      <c r="S573" s="49">
        <v>0</v>
      </c>
      <c r="T573" s="49">
        <v>1</v>
      </c>
      <c r="U573" s="50">
        <v>0</v>
      </c>
      <c r="V573" s="50">
        <v>0.20049</v>
      </c>
      <c r="W573" s="51"/>
      <c r="X573" s="51"/>
      <c r="Y573" s="51"/>
      <c r="Z573" s="50"/>
      <c r="AA573" s="73">
        <v>573</v>
      </c>
      <c r="AB573" s="73"/>
      <c r="AC573" s="74"/>
      <c r="AD573" s="81" t="s">
        <v>2998</v>
      </c>
      <c r="AE573" s="81"/>
      <c r="AF573" s="81"/>
      <c r="AG573" s="81"/>
      <c r="AH573" s="81"/>
      <c r="AI573" s="81" t="s">
        <v>2231</v>
      </c>
      <c r="AJ573" s="88">
        <v>45273.730520833335</v>
      </c>
      <c r="AK573" s="86" t="str">
        <f>HYPERLINK("https://yt3.ggpht.com/ytc/AIf8zZTk36rvvyEWp1PUAeFaqnszuj_8vBGFyIOC8wsBFZIHtyk_p-5vu1amyrANeVWN=s88-c-k-c0x00ffffff-no-rj")</f>
        <v>https://yt3.ggpht.com/ytc/AIf8zZTk36rvvyEWp1PUAeFaqnszuj_8vBGFyIOC8wsBFZIHtyk_p-5vu1amyrANeVWN=s88-c-k-c0x00ffffff-no-rj</v>
      </c>
      <c r="AL573" s="81">
        <v>0</v>
      </c>
      <c r="AM573" s="81">
        <v>0</v>
      </c>
      <c r="AN573" s="81">
        <v>0</v>
      </c>
      <c r="AO573" s="81" t="b">
        <v>0</v>
      </c>
      <c r="AP573" s="81">
        <v>0</v>
      </c>
      <c r="AQ573" s="81"/>
      <c r="AR573" s="81"/>
      <c r="AS573" s="81" t="s">
        <v>3378</v>
      </c>
      <c r="AT573" s="86" t="str">
        <f>HYPERLINK("https://www.youtube.com/channel/UC62ynSxFPhzio1GovXEnwNg")</f>
        <v>https://www.youtube.com/channel/UC62ynSxFPhzio1GovXEnwNg</v>
      </c>
      <c r="AU573" s="81" t="str">
        <f>REPLACE(INDEX(GroupVertices[Group],MATCH("~"&amp;Vertices[[#This Row],[Vertex]],GroupVertices[Vertex],0)),1,1,"")</f>
        <v>5</v>
      </c>
      <c r="AV573" s="49"/>
      <c r="AW573" s="49"/>
      <c r="AX573" s="49"/>
      <c r="AY573" s="49"/>
      <c r="AZ573" s="49"/>
      <c r="BA573" s="49"/>
      <c r="BB573" s="117" t="s">
        <v>4232</v>
      </c>
      <c r="BC573" s="117" t="s">
        <v>4232</v>
      </c>
      <c r="BD573" s="117" t="s">
        <v>4917</v>
      </c>
      <c r="BE573" s="117" t="s">
        <v>4917</v>
      </c>
      <c r="BF573" s="2"/>
      <c r="BG573" s="3"/>
      <c r="BH573" s="3"/>
      <c r="BI573" s="3"/>
      <c r="BJ573" s="3"/>
    </row>
    <row r="574" spans="1:62" ht="15">
      <c r="A574" s="66" t="s">
        <v>766</v>
      </c>
      <c r="B574" s="67"/>
      <c r="C574" s="67"/>
      <c r="D574" s="68">
        <v>50</v>
      </c>
      <c r="E574" s="70"/>
      <c r="F574" s="105" t="str">
        <f>HYPERLINK("https://yt3.ggpht.com/tdvVmTk9Kho7S931zh2GazrJeIG4RkPnGRncanvCui8KGs-077EHGV8squ8LBXaNRxNKf-4e9g=s88-c-k-c0x00ffffff-no-rj")</f>
        <v>https://yt3.ggpht.com/tdvVmTk9Kho7S931zh2GazrJeIG4RkPnGRncanvCui8KGs-077EHGV8squ8LBXaNRxNKf-4e9g=s88-c-k-c0x00ffffff-no-rj</v>
      </c>
      <c r="G574" s="67"/>
      <c r="H574" s="71" t="s">
        <v>2999</v>
      </c>
      <c r="I574" s="72"/>
      <c r="J574" s="72" t="s">
        <v>159</v>
      </c>
      <c r="K574" s="71" t="s">
        <v>2999</v>
      </c>
      <c r="L574" s="75">
        <v>1</v>
      </c>
      <c r="M574" s="76">
        <v>7571.31103515625</v>
      </c>
      <c r="N574" s="76">
        <v>1001.765869140625</v>
      </c>
      <c r="O574" s="77"/>
      <c r="P574" s="78"/>
      <c r="Q574" s="78"/>
      <c r="R574" s="90"/>
      <c r="S574" s="49">
        <v>0</v>
      </c>
      <c r="T574" s="49">
        <v>1</v>
      </c>
      <c r="U574" s="50">
        <v>0</v>
      </c>
      <c r="V574" s="50">
        <v>0.20049</v>
      </c>
      <c r="W574" s="51"/>
      <c r="X574" s="51"/>
      <c r="Y574" s="51"/>
      <c r="Z574" s="50"/>
      <c r="AA574" s="73">
        <v>574</v>
      </c>
      <c r="AB574" s="73"/>
      <c r="AC574" s="74"/>
      <c r="AD574" s="81" t="s">
        <v>2999</v>
      </c>
      <c r="AE574" s="81" t="s">
        <v>3206</v>
      </c>
      <c r="AF574" s="81"/>
      <c r="AG574" s="81"/>
      <c r="AH574" s="81"/>
      <c r="AI574" s="81" t="s">
        <v>3352</v>
      </c>
      <c r="AJ574" s="88">
        <v>40638.275358796294</v>
      </c>
      <c r="AK574" s="86" t="str">
        <f>HYPERLINK("https://yt3.ggpht.com/tdvVmTk9Kho7S931zh2GazrJeIG4RkPnGRncanvCui8KGs-077EHGV8squ8LBXaNRxNKf-4e9g=s88-c-k-c0x00ffffff-no-rj")</f>
        <v>https://yt3.ggpht.com/tdvVmTk9Kho7S931zh2GazrJeIG4RkPnGRncanvCui8KGs-077EHGV8squ8LBXaNRxNKf-4e9g=s88-c-k-c0x00ffffff-no-rj</v>
      </c>
      <c r="AL574" s="81">
        <v>367</v>
      </c>
      <c r="AM574" s="81">
        <v>0</v>
      </c>
      <c r="AN574" s="81">
        <v>3</v>
      </c>
      <c r="AO574" s="81" t="b">
        <v>0</v>
      </c>
      <c r="AP574" s="81">
        <v>14</v>
      </c>
      <c r="AQ574" s="81"/>
      <c r="AR574" s="81"/>
      <c r="AS574" s="81" t="s">
        <v>3378</v>
      </c>
      <c r="AT574" s="86" t="str">
        <f>HYPERLINK("https://www.youtube.com/channel/UCPhDXTMhUwn2WMA5dCa2ohA")</f>
        <v>https://www.youtube.com/channel/UCPhDXTMhUwn2WMA5dCa2ohA</v>
      </c>
      <c r="AU574" s="81" t="str">
        <f>REPLACE(INDEX(GroupVertices[Group],MATCH("~"&amp;Vertices[[#This Row],[Vertex]],GroupVertices[Vertex],0)),1,1,"")</f>
        <v>5</v>
      </c>
      <c r="AV574" s="49"/>
      <c r="AW574" s="49"/>
      <c r="AX574" s="49"/>
      <c r="AY574" s="49"/>
      <c r="AZ574" s="49"/>
      <c r="BA574" s="49"/>
      <c r="BB574" s="117" t="s">
        <v>4233</v>
      </c>
      <c r="BC574" s="117" t="s">
        <v>4233</v>
      </c>
      <c r="BD574" s="117" t="s">
        <v>4918</v>
      </c>
      <c r="BE574" s="117" t="s">
        <v>4918</v>
      </c>
      <c r="BF574" s="2"/>
      <c r="BG574" s="3"/>
      <c r="BH574" s="3"/>
      <c r="BI574" s="3"/>
      <c r="BJ574" s="3"/>
    </row>
    <row r="575" spans="1:62" ht="15">
      <c r="A575" s="66" t="s">
        <v>767</v>
      </c>
      <c r="B575" s="67"/>
      <c r="C575" s="67"/>
      <c r="D575" s="68">
        <v>50</v>
      </c>
      <c r="E575" s="70"/>
      <c r="F575" s="105" t="str">
        <f>HYPERLINK("https://yt3.ggpht.com/cwTcYnphC0A7qMT4bq-273QjbS1_Lcp3TPEvTgEIKUfvpbwowvBb2VUSLoBMQkUBpcjLBtJgkOU=s88-c-k-c0x00ffffff-no-rj")</f>
        <v>https://yt3.ggpht.com/cwTcYnphC0A7qMT4bq-273QjbS1_Lcp3TPEvTgEIKUfvpbwowvBb2VUSLoBMQkUBpcjLBtJgkOU=s88-c-k-c0x00ffffff-no-rj</v>
      </c>
      <c r="G575" s="67"/>
      <c r="H575" s="71" t="s">
        <v>3000</v>
      </c>
      <c r="I575" s="72"/>
      <c r="J575" s="72" t="s">
        <v>159</v>
      </c>
      <c r="K575" s="71" t="s">
        <v>3000</v>
      </c>
      <c r="L575" s="75">
        <v>1</v>
      </c>
      <c r="M575" s="76">
        <v>6496.9853515625</v>
      </c>
      <c r="N575" s="76">
        <v>2173.21484375</v>
      </c>
      <c r="O575" s="77"/>
      <c r="P575" s="78"/>
      <c r="Q575" s="78"/>
      <c r="R575" s="90"/>
      <c r="S575" s="49">
        <v>0</v>
      </c>
      <c r="T575" s="49">
        <v>1</v>
      </c>
      <c r="U575" s="50">
        <v>0</v>
      </c>
      <c r="V575" s="50">
        <v>0.20049</v>
      </c>
      <c r="W575" s="51"/>
      <c r="X575" s="51"/>
      <c r="Y575" s="51"/>
      <c r="Z575" s="50"/>
      <c r="AA575" s="73">
        <v>575</v>
      </c>
      <c r="AB575" s="73"/>
      <c r="AC575" s="74"/>
      <c r="AD575" s="81" t="s">
        <v>3000</v>
      </c>
      <c r="AE575" s="81" t="s">
        <v>3207</v>
      </c>
      <c r="AF575" s="81"/>
      <c r="AG575" s="81"/>
      <c r="AH575" s="81"/>
      <c r="AI575" s="81" t="s">
        <v>2233</v>
      </c>
      <c r="AJ575" s="88">
        <v>44159.318761574075</v>
      </c>
      <c r="AK575" s="86" t="str">
        <f>HYPERLINK("https://yt3.ggpht.com/cwTcYnphC0A7qMT4bq-273QjbS1_Lcp3TPEvTgEIKUfvpbwowvBb2VUSLoBMQkUBpcjLBtJgkOU=s88-c-k-c0x00ffffff-no-rj")</f>
        <v>https://yt3.ggpht.com/cwTcYnphC0A7qMT4bq-273QjbS1_Lcp3TPEvTgEIKUfvpbwowvBb2VUSLoBMQkUBpcjLBtJgkOU=s88-c-k-c0x00ffffff-no-rj</v>
      </c>
      <c r="AL575" s="81">
        <v>0</v>
      </c>
      <c r="AM575" s="81">
        <v>0</v>
      </c>
      <c r="AN575" s="81">
        <v>0</v>
      </c>
      <c r="AO575" s="81" t="b">
        <v>0</v>
      </c>
      <c r="AP575" s="81">
        <v>0</v>
      </c>
      <c r="AQ575" s="81"/>
      <c r="AR575" s="81"/>
      <c r="AS575" s="81" t="s">
        <v>3378</v>
      </c>
      <c r="AT575" s="86" t="str">
        <f>HYPERLINK("https://www.youtube.com/channel/UCKkJjs7WWG25fYJOse62Fww")</f>
        <v>https://www.youtube.com/channel/UCKkJjs7WWG25fYJOse62Fww</v>
      </c>
      <c r="AU575" s="81" t="str">
        <f>REPLACE(INDEX(GroupVertices[Group],MATCH("~"&amp;Vertices[[#This Row],[Vertex]],GroupVertices[Vertex],0)),1,1,"")</f>
        <v>5</v>
      </c>
      <c r="AV575" s="49"/>
      <c r="AW575" s="49"/>
      <c r="AX575" s="49"/>
      <c r="AY575" s="49"/>
      <c r="AZ575" s="49"/>
      <c r="BA575" s="49"/>
      <c r="BB575" s="117" t="s">
        <v>4234</v>
      </c>
      <c r="BC575" s="117" t="s">
        <v>4234</v>
      </c>
      <c r="BD575" s="117" t="s">
        <v>4919</v>
      </c>
      <c r="BE575" s="117" t="s">
        <v>4919</v>
      </c>
      <c r="BF575" s="2"/>
      <c r="BG575" s="3"/>
      <c r="BH575" s="3"/>
      <c r="BI575" s="3"/>
      <c r="BJ575" s="3"/>
    </row>
    <row r="576" spans="1:62" ht="15">
      <c r="A576" s="66" t="s">
        <v>768</v>
      </c>
      <c r="B576" s="67"/>
      <c r="C576" s="67"/>
      <c r="D576" s="68">
        <v>50</v>
      </c>
      <c r="E576" s="70"/>
      <c r="F576" s="105" t="str">
        <f>HYPERLINK("https://yt3.ggpht.com/WWkbOUvVqGO5iFOA39ThDY4p70bPcZLVbI6yL_8J6hUQjU5DqejZG7YmtkooW-c4O_5Ir-qs=s88-c-k-c0x00ffffff-no-rj")</f>
        <v>https://yt3.ggpht.com/WWkbOUvVqGO5iFOA39ThDY4p70bPcZLVbI6yL_8J6hUQjU5DqejZG7YmtkooW-c4O_5Ir-qs=s88-c-k-c0x00ffffff-no-rj</v>
      </c>
      <c r="G576" s="67"/>
      <c r="H576" s="71" t="s">
        <v>3001</v>
      </c>
      <c r="I576" s="72"/>
      <c r="J576" s="72" t="s">
        <v>159</v>
      </c>
      <c r="K576" s="71" t="s">
        <v>3001</v>
      </c>
      <c r="L576" s="75">
        <v>1</v>
      </c>
      <c r="M576" s="76">
        <v>7386.26025390625</v>
      </c>
      <c r="N576" s="76">
        <v>4304.68603515625</v>
      </c>
      <c r="O576" s="77"/>
      <c r="P576" s="78"/>
      <c r="Q576" s="78"/>
      <c r="R576" s="90"/>
      <c r="S576" s="49">
        <v>0</v>
      </c>
      <c r="T576" s="49">
        <v>1</v>
      </c>
      <c r="U576" s="50">
        <v>0</v>
      </c>
      <c r="V576" s="50">
        <v>0.20049</v>
      </c>
      <c r="W576" s="51"/>
      <c r="X576" s="51"/>
      <c r="Y576" s="51"/>
      <c r="Z576" s="50"/>
      <c r="AA576" s="73">
        <v>576</v>
      </c>
      <c r="AB576" s="73"/>
      <c r="AC576" s="74"/>
      <c r="AD576" s="81" t="s">
        <v>3001</v>
      </c>
      <c r="AE576" s="81" t="s">
        <v>3208</v>
      </c>
      <c r="AF576" s="81"/>
      <c r="AG576" s="81"/>
      <c r="AH576" s="81"/>
      <c r="AI576" s="81" t="s">
        <v>3353</v>
      </c>
      <c r="AJ576" s="88">
        <v>45243.16127314815</v>
      </c>
      <c r="AK576" s="86" t="str">
        <f>HYPERLINK("https://yt3.ggpht.com/WWkbOUvVqGO5iFOA39ThDY4p70bPcZLVbI6yL_8J6hUQjU5DqejZG7YmtkooW-c4O_5Ir-qs=s88-c-k-c0x00ffffff-no-rj")</f>
        <v>https://yt3.ggpht.com/WWkbOUvVqGO5iFOA39ThDY4p70bPcZLVbI6yL_8J6hUQjU5DqejZG7YmtkooW-c4O_5Ir-qs=s88-c-k-c0x00ffffff-no-rj</v>
      </c>
      <c r="AL576" s="81">
        <v>0</v>
      </c>
      <c r="AM576" s="81">
        <v>0</v>
      </c>
      <c r="AN576" s="81">
        <v>0</v>
      </c>
      <c r="AO576" s="81" t="b">
        <v>0</v>
      </c>
      <c r="AP576" s="81">
        <v>0</v>
      </c>
      <c r="AQ576" s="81"/>
      <c r="AR576" s="81"/>
      <c r="AS576" s="81" t="s">
        <v>3378</v>
      </c>
      <c r="AT576" s="86" t="str">
        <f>HYPERLINK("https://www.youtube.com/channel/UCt4EDc5-eCtnbIBf3IvOR2w")</f>
        <v>https://www.youtube.com/channel/UCt4EDc5-eCtnbIBf3IvOR2w</v>
      </c>
      <c r="AU576" s="81" t="str">
        <f>REPLACE(INDEX(GroupVertices[Group],MATCH("~"&amp;Vertices[[#This Row],[Vertex]],GroupVertices[Vertex],0)),1,1,"")</f>
        <v>5</v>
      </c>
      <c r="AV576" s="49"/>
      <c r="AW576" s="49"/>
      <c r="AX576" s="49"/>
      <c r="AY576" s="49"/>
      <c r="AZ576" s="49"/>
      <c r="BA576" s="49"/>
      <c r="BB576" s="117" t="s">
        <v>4235</v>
      </c>
      <c r="BC576" s="117" t="s">
        <v>4235</v>
      </c>
      <c r="BD576" s="117" t="s">
        <v>4920</v>
      </c>
      <c r="BE576" s="117" t="s">
        <v>4920</v>
      </c>
      <c r="BF576" s="2"/>
      <c r="BG576" s="3"/>
      <c r="BH576" s="3"/>
      <c r="BI576" s="3"/>
      <c r="BJ576" s="3"/>
    </row>
    <row r="577" spans="1:62" ht="15">
      <c r="A577" s="66" t="s">
        <v>770</v>
      </c>
      <c r="B577" s="67"/>
      <c r="C577" s="67"/>
      <c r="D577" s="68">
        <v>50</v>
      </c>
      <c r="E577" s="70"/>
      <c r="F577" s="105" t="str">
        <f>HYPERLINK("https://yt3.ggpht.com/ytc/AIf8zZS9yCaGGlaH-z-bNp8PsslyxVFEIr5N3NEZmQZqKwI=s88-c-k-c0x00ffffff-no-rj-mo")</f>
        <v>https://yt3.ggpht.com/ytc/AIf8zZS9yCaGGlaH-z-bNp8PsslyxVFEIr5N3NEZmQZqKwI=s88-c-k-c0x00ffffff-no-rj-mo</v>
      </c>
      <c r="G577" s="67"/>
      <c r="H577" s="71" t="s">
        <v>3002</v>
      </c>
      <c r="I577" s="72"/>
      <c r="J577" s="72" t="s">
        <v>159</v>
      </c>
      <c r="K577" s="71" t="s">
        <v>3002</v>
      </c>
      <c r="L577" s="75">
        <v>1</v>
      </c>
      <c r="M577" s="76">
        <v>8053.5517578125</v>
      </c>
      <c r="N577" s="76">
        <v>1839.28173828125</v>
      </c>
      <c r="O577" s="77"/>
      <c r="P577" s="78"/>
      <c r="Q577" s="78"/>
      <c r="R577" s="90"/>
      <c r="S577" s="49">
        <v>0</v>
      </c>
      <c r="T577" s="49">
        <v>1</v>
      </c>
      <c r="U577" s="50">
        <v>0</v>
      </c>
      <c r="V577" s="50">
        <v>0.20049</v>
      </c>
      <c r="W577" s="51"/>
      <c r="X577" s="51"/>
      <c r="Y577" s="51"/>
      <c r="Z577" s="50"/>
      <c r="AA577" s="73">
        <v>577</v>
      </c>
      <c r="AB577" s="73"/>
      <c r="AC577" s="74"/>
      <c r="AD577" s="81" t="s">
        <v>3002</v>
      </c>
      <c r="AE577" s="81" t="s">
        <v>3209</v>
      </c>
      <c r="AF577" s="81"/>
      <c r="AG577" s="81"/>
      <c r="AH577" s="81"/>
      <c r="AI577" s="81" t="s">
        <v>3355</v>
      </c>
      <c r="AJ577" s="88">
        <v>40814.30966435185</v>
      </c>
      <c r="AK577" s="86" t="str">
        <f>HYPERLINK("https://yt3.ggpht.com/ytc/AIf8zZS9yCaGGlaH-z-bNp8PsslyxVFEIr5N3NEZmQZqKwI=s88-c-k-c0x00ffffff-no-rj-mo")</f>
        <v>https://yt3.ggpht.com/ytc/AIf8zZS9yCaGGlaH-z-bNp8PsslyxVFEIr5N3NEZmQZqKwI=s88-c-k-c0x00ffffff-no-rj-mo</v>
      </c>
      <c r="AL577" s="81">
        <v>15590377</v>
      </c>
      <c r="AM577" s="81">
        <v>0</v>
      </c>
      <c r="AN577" s="81">
        <v>9020</v>
      </c>
      <c r="AO577" s="81" t="b">
        <v>0</v>
      </c>
      <c r="AP577" s="81">
        <v>24</v>
      </c>
      <c r="AQ577" s="81"/>
      <c r="AR577" s="81"/>
      <c r="AS577" s="81" t="s">
        <v>3378</v>
      </c>
      <c r="AT577" s="86" t="str">
        <f>HYPERLINK("https://www.youtube.com/channel/UCDN8QulDooiWplmXb5DMeuQ")</f>
        <v>https://www.youtube.com/channel/UCDN8QulDooiWplmXb5DMeuQ</v>
      </c>
      <c r="AU577" s="81" t="str">
        <f>REPLACE(INDEX(GroupVertices[Group],MATCH("~"&amp;Vertices[[#This Row],[Vertex]],GroupVertices[Vertex],0)),1,1,"")</f>
        <v>5</v>
      </c>
      <c r="AV577" s="49"/>
      <c r="AW577" s="49"/>
      <c r="AX577" s="49"/>
      <c r="AY577" s="49"/>
      <c r="AZ577" s="49"/>
      <c r="BA577" s="49"/>
      <c r="BB577" s="117" t="s">
        <v>4237</v>
      </c>
      <c r="BC577" s="117" t="s">
        <v>4237</v>
      </c>
      <c r="BD577" s="117" t="s">
        <v>4922</v>
      </c>
      <c r="BE577" s="117" t="s">
        <v>4922</v>
      </c>
      <c r="BF577" s="2"/>
      <c r="BG577" s="3"/>
      <c r="BH577" s="3"/>
      <c r="BI577" s="3"/>
      <c r="BJ577" s="3"/>
    </row>
    <row r="578" spans="1:62" ht="15">
      <c r="A578" s="66" t="s">
        <v>771</v>
      </c>
      <c r="B578" s="67"/>
      <c r="C578" s="67"/>
      <c r="D578" s="68">
        <v>50</v>
      </c>
      <c r="E578" s="70"/>
      <c r="F578" s="105" t="str">
        <f>HYPERLINK("https://yt3.ggpht.com/ytc/AIf8zZQUqT8NQ3iUmqVcyzueSsu7kOwztXe6MOT7MQ=s88-c-k-c0x00ffffff-no-rj")</f>
        <v>https://yt3.ggpht.com/ytc/AIf8zZQUqT8NQ3iUmqVcyzueSsu7kOwztXe6MOT7MQ=s88-c-k-c0x00ffffff-no-rj</v>
      </c>
      <c r="G578" s="67"/>
      <c r="H578" s="71" t="s">
        <v>3003</v>
      </c>
      <c r="I578" s="72"/>
      <c r="J578" s="72" t="s">
        <v>159</v>
      </c>
      <c r="K578" s="71" t="s">
        <v>3003</v>
      </c>
      <c r="L578" s="75">
        <v>1</v>
      </c>
      <c r="M578" s="76">
        <v>6214.6171875</v>
      </c>
      <c r="N578" s="76">
        <v>3182.983642578125</v>
      </c>
      <c r="O578" s="77"/>
      <c r="P578" s="78"/>
      <c r="Q578" s="78"/>
      <c r="R578" s="90"/>
      <c r="S578" s="49">
        <v>0</v>
      </c>
      <c r="T578" s="49">
        <v>1</v>
      </c>
      <c r="U578" s="50">
        <v>0</v>
      </c>
      <c r="V578" s="50">
        <v>0.20049</v>
      </c>
      <c r="W578" s="51"/>
      <c r="X578" s="51"/>
      <c r="Y578" s="51"/>
      <c r="Z578" s="50"/>
      <c r="AA578" s="73">
        <v>578</v>
      </c>
      <c r="AB578" s="73"/>
      <c r="AC578" s="74"/>
      <c r="AD578" s="81" t="s">
        <v>3003</v>
      </c>
      <c r="AE578" s="81"/>
      <c r="AF578" s="81"/>
      <c r="AG578" s="81"/>
      <c r="AH578" s="81"/>
      <c r="AI578" s="81" t="s">
        <v>2237</v>
      </c>
      <c r="AJ578" s="88">
        <v>40018.08773148148</v>
      </c>
      <c r="AK578" s="86" t="str">
        <f>HYPERLINK("https://yt3.ggpht.com/ytc/AIf8zZQUqT8NQ3iUmqVcyzueSsu7kOwztXe6MOT7MQ=s88-c-k-c0x00ffffff-no-rj")</f>
        <v>https://yt3.ggpht.com/ytc/AIf8zZQUqT8NQ3iUmqVcyzueSsu7kOwztXe6MOT7MQ=s88-c-k-c0x00ffffff-no-rj</v>
      </c>
      <c r="AL578" s="81">
        <v>0</v>
      </c>
      <c r="AM578" s="81">
        <v>0</v>
      </c>
      <c r="AN578" s="81">
        <v>19</v>
      </c>
      <c r="AO578" s="81" t="b">
        <v>0</v>
      </c>
      <c r="AP578" s="81">
        <v>0</v>
      </c>
      <c r="AQ578" s="81"/>
      <c r="AR578" s="81"/>
      <c r="AS578" s="81" t="s">
        <v>3378</v>
      </c>
      <c r="AT578" s="86" t="str">
        <f>HYPERLINK("https://www.youtube.com/channel/UC-ay-w_anmeEXq_OrHw0BwQ")</f>
        <v>https://www.youtube.com/channel/UC-ay-w_anmeEXq_OrHw0BwQ</v>
      </c>
      <c r="AU578" s="81" t="str">
        <f>REPLACE(INDEX(GroupVertices[Group],MATCH("~"&amp;Vertices[[#This Row],[Vertex]],GroupVertices[Vertex],0)),1,1,"")</f>
        <v>5</v>
      </c>
      <c r="AV578" s="49"/>
      <c r="AW578" s="49"/>
      <c r="AX578" s="49"/>
      <c r="AY578" s="49"/>
      <c r="AZ578" s="49"/>
      <c r="BA578" s="49"/>
      <c r="BB578" s="117" t="s">
        <v>4238</v>
      </c>
      <c r="BC578" s="117" t="s">
        <v>4238</v>
      </c>
      <c r="BD578" s="117" t="s">
        <v>4923</v>
      </c>
      <c r="BE578" s="117" t="s">
        <v>4923</v>
      </c>
      <c r="BF578" s="2"/>
      <c r="BG578" s="3"/>
      <c r="BH578" s="3"/>
      <c r="BI578" s="3"/>
      <c r="BJ578" s="3"/>
    </row>
    <row r="579" spans="1:62" ht="15">
      <c r="A579" s="66" t="s">
        <v>772</v>
      </c>
      <c r="B579" s="67"/>
      <c r="C579" s="67"/>
      <c r="D579" s="68">
        <v>50</v>
      </c>
      <c r="E579" s="70"/>
      <c r="F579" s="105" t="str">
        <f>HYPERLINK("https://yt3.ggpht.com/ytc/AIf8zZTsYVPHIIEm9NFSDG8Y_0KykAiGDzozKMLFU0RC=s88-c-k-c0x00ffffff-no-rj")</f>
        <v>https://yt3.ggpht.com/ytc/AIf8zZTsYVPHIIEm9NFSDG8Y_0KykAiGDzozKMLFU0RC=s88-c-k-c0x00ffffff-no-rj</v>
      </c>
      <c r="G579" s="67"/>
      <c r="H579" s="71" t="s">
        <v>3004</v>
      </c>
      <c r="I579" s="72"/>
      <c r="J579" s="72" t="s">
        <v>159</v>
      </c>
      <c r="K579" s="71" t="s">
        <v>3004</v>
      </c>
      <c r="L579" s="75">
        <v>1</v>
      </c>
      <c r="M579" s="76">
        <v>6618.17529296875</v>
      </c>
      <c r="N579" s="76">
        <v>4875.40478515625</v>
      </c>
      <c r="O579" s="77"/>
      <c r="P579" s="78"/>
      <c r="Q579" s="78"/>
      <c r="R579" s="90"/>
      <c r="S579" s="49">
        <v>0</v>
      </c>
      <c r="T579" s="49">
        <v>1</v>
      </c>
      <c r="U579" s="50">
        <v>0</v>
      </c>
      <c r="V579" s="50">
        <v>0.20049</v>
      </c>
      <c r="W579" s="51"/>
      <c r="X579" s="51"/>
      <c r="Y579" s="51"/>
      <c r="Z579" s="50"/>
      <c r="AA579" s="73">
        <v>579</v>
      </c>
      <c r="AB579" s="73"/>
      <c r="AC579" s="74"/>
      <c r="AD579" s="81" t="s">
        <v>3004</v>
      </c>
      <c r="AE579" s="81"/>
      <c r="AF579" s="81"/>
      <c r="AG579" s="81"/>
      <c r="AH579" s="81"/>
      <c r="AI579" s="81" t="s">
        <v>2238</v>
      </c>
      <c r="AJ579" s="88">
        <v>41926.30788194444</v>
      </c>
      <c r="AK579" s="86" t="str">
        <f>HYPERLINK("https://yt3.ggpht.com/ytc/AIf8zZTsYVPHIIEm9NFSDG8Y_0KykAiGDzozKMLFU0RC=s88-c-k-c0x00ffffff-no-rj")</f>
        <v>https://yt3.ggpht.com/ytc/AIf8zZTsYVPHIIEm9NFSDG8Y_0KykAiGDzozKMLFU0RC=s88-c-k-c0x00ffffff-no-rj</v>
      </c>
      <c r="AL579" s="81">
        <v>301</v>
      </c>
      <c r="AM579" s="81">
        <v>0</v>
      </c>
      <c r="AN579" s="81">
        <v>8</v>
      </c>
      <c r="AO579" s="81" t="b">
        <v>0</v>
      </c>
      <c r="AP579" s="81">
        <v>2</v>
      </c>
      <c r="AQ579" s="81"/>
      <c r="AR579" s="81"/>
      <c r="AS579" s="81" t="s">
        <v>3378</v>
      </c>
      <c r="AT579" s="86" t="str">
        <f>HYPERLINK("https://www.youtube.com/channel/UCjyyEyMWbuLEZc9g_G6rEZQ")</f>
        <v>https://www.youtube.com/channel/UCjyyEyMWbuLEZc9g_G6rEZQ</v>
      </c>
      <c r="AU579" s="81" t="str">
        <f>REPLACE(INDEX(GroupVertices[Group],MATCH("~"&amp;Vertices[[#This Row],[Vertex]],GroupVertices[Vertex],0)),1,1,"")</f>
        <v>5</v>
      </c>
      <c r="AV579" s="49"/>
      <c r="AW579" s="49"/>
      <c r="AX579" s="49"/>
      <c r="AY579" s="49"/>
      <c r="AZ579" s="49"/>
      <c r="BA579" s="49"/>
      <c r="BB579" s="117" t="s">
        <v>4239</v>
      </c>
      <c r="BC579" s="117" t="s">
        <v>4239</v>
      </c>
      <c r="BD579" s="117" t="s">
        <v>2423</v>
      </c>
      <c r="BE579" s="117" t="s">
        <v>2423</v>
      </c>
      <c r="BF579" s="2"/>
      <c r="BG579" s="3"/>
      <c r="BH579" s="3"/>
      <c r="BI579" s="3"/>
      <c r="BJ579" s="3"/>
    </row>
    <row r="580" spans="1:62" ht="15">
      <c r="A580" s="66" t="s">
        <v>773</v>
      </c>
      <c r="B580" s="67"/>
      <c r="C580" s="67"/>
      <c r="D580" s="68">
        <v>50</v>
      </c>
      <c r="E580" s="70"/>
      <c r="F580" s="105" t="str">
        <f>HYPERLINK("https://yt3.ggpht.com/McVf0D41PSijnS_MmUGRsNx3KIcXF6zXulsSFjxPH2wuq7uWm09u4K0PXodZV937X2c35BRK6A=s88-c-k-c0x00ffffff-no-rj")</f>
        <v>https://yt3.ggpht.com/McVf0D41PSijnS_MmUGRsNx3KIcXF6zXulsSFjxPH2wuq7uWm09u4K0PXodZV937X2c35BRK6A=s88-c-k-c0x00ffffff-no-rj</v>
      </c>
      <c r="G580" s="67"/>
      <c r="H580" s="71" t="s">
        <v>3005</v>
      </c>
      <c r="I580" s="72"/>
      <c r="J580" s="72" t="s">
        <v>159</v>
      </c>
      <c r="K580" s="71" t="s">
        <v>3005</v>
      </c>
      <c r="L580" s="75">
        <v>1</v>
      </c>
      <c r="M580" s="76">
        <v>7574.08203125</v>
      </c>
      <c r="N580" s="76">
        <v>2362.950927734375</v>
      </c>
      <c r="O580" s="77"/>
      <c r="P580" s="78"/>
      <c r="Q580" s="78"/>
      <c r="R580" s="90"/>
      <c r="S580" s="49">
        <v>0</v>
      </c>
      <c r="T580" s="49">
        <v>1</v>
      </c>
      <c r="U580" s="50">
        <v>0</v>
      </c>
      <c r="V580" s="50">
        <v>0.20049</v>
      </c>
      <c r="W580" s="51"/>
      <c r="X580" s="51"/>
      <c r="Y580" s="51"/>
      <c r="Z580" s="50"/>
      <c r="AA580" s="73">
        <v>580</v>
      </c>
      <c r="AB580" s="73"/>
      <c r="AC580" s="74"/>
      <c r="AD580" s="81" t="s">
        <v>3005</v>
      </c>
      <c r="AE580" s="81"/>
      <c r="AF580" s="81"/>
      <c r="AG580" s="81"/>
      <c r="AH580" s="81"/>
      <c r="AI580" s="81" t="s">
        <v>2239</v>
      </c>
      <c r="AJ580" s="88">
        <v>42999.34491898148</v>
      </c>
      <c r="AK580" s="86" t="str">
        <f>HYPERLINK("https://yt3.ggpht.com/McVf0D41PSijnS_MmUGRsNx3KIcXF6zXulsSFjxPH2wuq7uWm09u4K0PXodZV937X2c35BRK6A=s88-c-k-c0x00ffffff-no-rj")</f>
        <v>https://yt3.ggpht.com/McVf0D41PSijnS_MmUGRsNx3KIcXF6zXulsSFjxPH2wuq7uWm09u4K0PXodZV937X2c35BRK6A=s88-c-k-c0x00ffffff-no-rj</v>
      </c>
      <c r="AL580" s="81">
        <v>8445</v>
      </c>
      <c r="AM580" s="81">
        <v>0</v>
      </c>
      <c r="AN580" s="81">
        <v>30</v>
      </c>
      <c r="AO580" s="81" t="b">
        <v>0</v>
      </c>
      <c r="AP580" s="81">
        <v>58</v>
      </c>
      <c r="AQ580" s="81"/>
      <c r="AR580" s="81"/>
      <c r="AS580" s="81" t="s">
        <v>3378</v>
      </c>
      <c r="AT580" s="86" t="str">
        <f>HYPERLINK("https://www.youtube.com/channel/UCxpfch7Fchl-zAMh5rAVM5Q")</f>
        <v>https://www.youtube.com/channel/UCxpfch7Fchl-zAMh5rAVM5Q</v>
      </c>
      <c r="AU580" s="81" t="str">
        <f>REPLACE(INDEX(GroupVertices[Group],MATCH("~"&amp;Vertices[[#This Row],[Vertex]],GroupVertices[Vertex],0)),1,1,"")</f>
        <v>5</v>
      </c>
      <c r="AV580" s="49"/>
      <c r="AW580" s="49"/>
      <c r="AX580" s="49"/>
      <c r="AY580" s="49"/>
      <c r="AZ580" s="49"/>
      <c r="BA580" s="49"/>
      <c r="BB580" s="117" t="s">
        <v>4240</v>
      </c>
      <c r="BC580" s="117" t="s">
        <v>4240</v>
      </c>
      <c r="BD580" s="117" t="s">
        <v>4924</v>
      </c>
      <c r="BE580" s="117" t="s">
        <v>4924</v>
      </c>
      <c r="BF580" s="2"/>
      <c r="BG580" s="3"/>
      <c r="BH580" s="3"/>
      <c r="BI580" s="3"/>
      <c r="BJ580" s="3"/>
    </row>
    <row r="581" spans="1:62" ht="15">
      <c r="A581" s="66" t="s">
        <v>774</v>
      </c>
      <c r="B581" s="67"/>
      <c r="C581" s="67"/>
      <c r="D581" s="68">
        <v>50</v>
      </c>
      <c r="E581" s="70"/>
      <c r="F581" s="105" t="str">
        <f>HYPERLINK("https://yt3.ggpht.com/KSSaWOoQjxfR9yE5BivYiUjXW8Cwq3IOTGyWELQRmbgIdCSVCQsKewQsgTQM-TYSvhCrbYX043o=s88-c-k-c0x00ffffff-no-rj")</f>
        <v>https://yt3.ggpht.com/KSSaWOoQjxfR9yE5BivYiUjXW8Cwq3IOTGyWELQRmbgIdCSVCQsKewQsgTQM-TYSvhCrbYX043o=s88-c-k-c0x00ffffff-no-rj</v>
      </c>
      <c r="G581" s="67"/>
      <c r="H581" s="71" t="s">
        <v>3006</v>
      </c>
      <c r="I581" s="72"/>
      <c r="J581" s="72" t="s">
        <v>159</v>
      </c>
      <c r="K581" s="71" t="s">
        <v>3006</v>
      </c>
      <c r="L581" s="75">
        <v>1</v>
      </c>
      <c r="M581" s="76">
        <v>7004.56982421875</v>
      </c>
      <c r="N581" s="76">
        <v>3410.0615234375</v>
      </c>
      <c r="O581" s="77"/>
      <c r="P581" s="78"/>
      <c r="Q581" s="78"/>
      <c r="R581" s="90"/>
      <c r="S581" s="49">
        <v>0</v>
      </c>
      <c r="T581" s="49">
        <v>1</v>
      </c>
      <c r="U581" s="50">
        <v>0</v>
      </c>
      <c r="V581" s="50">
        <v>0.20049</v>
      </c>
      <c r="W581" s="51"/>
      <c r="X581" s="51"/>
      <c r="Y581" s="51"/>
      <c r="Z581" s="50"/>
      <c r="AA581" s="73">
        <v>581</v>
      </c>
      <c r="AB581" s="73"/>
      <c r="AC581" s="74"/>
      <c r="AD581" s="81" t="s">
        <v>3006</v>
      </c>
      <c r="AE581" s="81" t="s">
        <v>3210</v>
      </c>
      <c r="AF581" s="81"/>
      <c r="AG581" s="81"/>
      <c r="AH581" s="81"/>
      <c r="AI581" s="81" t="s">
        <v>2240</v>
      </c>
      <c r="AJ581" s="88">
        <v>43202.89160879629</v>
      </c>
      <c r="AK581" s="86" t="str">
        <f>HYPERLINK("https://yt3.ggpht.com/KSSaWOoQjxfR9yE5BivYiUjXW8Cwq3IOTGyWELQRmbgIdCSVCQsKewQsgTQM-TYSvhCrbYX043o=s88-c-k-c0x00ffffff-no-rj")</f>
        <v>https://yt3.ggpht.com/KSSaWOoQjxfR9yE5BivYiUjXW8Cwq3IOTGyWELQRmbgIdCSVCQsKewQsgTQM-TYSvhCrbYX043o=s88-c-k-c0x00ffffff-no-rj</v>
      </c>
      <c r="AL581" s="81">
        <v>42481</v>
      </c>
      <c r="AM581" s="81">
        <v>0</v>
      </c>
      <c r="AN581" s="81">
        <v>104</v>
      </c>
      <c r="AO581" s="81" t="b">
        <v>0</v>
      </c>
      <c r="AP581" s="81">
        <v>29</v>
      </c>
      <c r="AQ581" s="81"/>
      <c r="AR581" s="81"/>
      <c r="AS581" s="81" t="s">
        <v>3378</v>
      </c>
      <c r="AT581" s="86" t="str">
        <f>HYPERLINK("https://www.youtube.com/channel/UCetrVcySporiw95-lZcscBw")</f>
        <v>https://www.youtube.com/channel/UCetrVcySporiw95-lZcscBw</v>
      </c>
      <c r="AU581" s="81" t="str">
        <f>REPLACE(INDEX(GroupVertices[Group],MATCH("~"&amp;Vertices[[#This Row],[Vertex]],GroupVertices[Vertex],0)),1,1,"")</f>
        <v>5</v>
      </c>
      <c r="AV581" s="49"/>
      <c r="AW581" s="49"/>
      <c r="AX581" s="49"/>
      <c r="AY581" s="49"/>
      <c r="AZ581" s="49"/>
      <c r="BA581" s="49"/>
      <c r="BB581" s="117" t="s">
        <v>4241</v>
      </c>
      <c r="BC581" s="117" t="s">
        <v>4241</v>
      </c>
      <c r="BD581" s="117" t="s">
        <v>4925</v>
      </c>
      <c r="BE581" s="117" t="s">
        <v>4925</v>
      </c>
      <c r="BF581" s="2"/>
      <c r="BG581" s="3"/>
      <c r="BH581" s="3"/>
      <c r="BI581" s="3"/>
      <c r="BJ581" s="3"/>
    </row>
    <row r="582" spans="1:62" ht="15">
      <c r="A582" s="66" t="s">
        <v>775</v>
      </c>
      <c r="B582" s="67"/>
      <c r="C582" s="67"/>
      <c r="D582" s="68">
        <v>50</v>
      </c>
      <c r="E582" s="70"/>
      <c r="F582" s="105" t="str">
        <f>HYPERLINK("https://yt3.ggpht.com/ytc/AIf8zZS7wCTIZpH-aYBscDTLQVP8gR0J9iMbsWoles19=s88-c-k-c0x00ffffff-no-rj")</f>
        <v>https://yt3.ggpht.com/ytc/AIf8zZS7wCTIZpH-aYBscDTLQVP8gR0J9iMbsWoles19=s88-c-k-c0x00ffffff-no-rj</v>
      </c>
      <c r="G582" s="67"/>
      <c r="H582" s="71" t="s">
        <v>3007</v>
      </c>
      <c r="I582" s="72"/>
      <c r="J582" s="72" t="s">
        <v>159</v>
      </c>
      <c r="K582" s="71" t="s">
        <v>3007</v>
      </c>
      <c r="L582" s="75">
        <v>1</v>
      </c>
      <c r="M582" s="76">
        <v>7593.40185546875</v>
      </c>
      <c r="N582" s="76">
        <v>5262.61767578125</v>
      </c>
      <c r="O582" s="77"/>
      <c r="P582" s="78"/>
      <c r="Q582" s="78"/>
      <c r="R582" s="90"/>
      <c r="S582" s="49">
        <v>0</v>
      </c>
      <c r="T582" s="49">
        <v>1</v>
      </c>
      <c r="U582" s="50">
        <v>0</v>
      </c>
      <c r="V582" s="50">
        <v>0.20049</v>
      </c>
      <c r="W582" s="51"/>
      <c r="X582" s="51"/>
      <c r="Y582" s="51"/>
      <c r="Z582" s="50"/>
      <c r="AA582" s="73">
        <v>582</v>
      </c>
      <c r="AB582" s="73"/>
      <c r="AC582" s="74"/>
      <c r="AD582" s="81" t="s">
        <v>3007</v>
      </c>
      <c r="AE582" s="81"/>
      <c r="AF582" s="81"/>
      <c r="AG582" s="81"/>
      <c r="AH582" s="81"/>
      <c r="AI582" s="81" t="s">
        <v>2241</v>
      </c>
      <c r="AJ582" s="88">
        <v>44171.06818287037</v>
      </c>
      <c r="AK582" s="86" t="str">
        <f>HYPERLINK("https://yt3.ggpht.com/ytc/AIf8zZS7wCTIZpH-aYBscDTLQVP8gR0J9iMbsWoles19=s88-c-k-c0x00ffffff-no-rj")</f>
        <v>https://yt3.ggpht.com/ytc/AIf8zZS7wCTIZpH-aYBscDTLQVP8gR0J9iMbsWoles19=s88-c-k-c0x00ffffff-no-rj</v>
      </c>
      <c r="AL582" s="81">
        <v>0</v>
      </c>
      <c r="AM582" s="81">
        <v>0</v>
      </c>
      <c r="AN582" s="81">
        <v>0</v>
      </c>
      <c r="AO582" s="81" t="b">
        <v>0</v>
      </c>
      <c r="AP582" s="81">
        <v>0</v>
      </c>
      <c r="AQ582" s="81"/>
      <c r="AR582" s="81"/>
      <c r="AS582" s="81" t="s">
        <v>3378</v>
      </c>
      <c r="AT582" s="86" t="str">
        <f>HYPERLINK("https://www.youtube.com/channel/UC0eok-DkRRlQQNdnDkuQPEg")</f>
        <v>https://www.youtube.com/channel/UC0eok-DkRRlQQNdnDkuQPEg</v>
      </c>
      <c r="AU582" s="81" t="str">
        <f>REPLACE(INDEX(GroupVertices[Group],MATCH("~"&amp;Vertices[[#This Row],[Vertex]],GroupVertices[Vertex],0)),1,1,"")</f>
        <v>5</v>
      </c>
      <c r="AV582" s="49"/>
      <c r="AW582" s="49"/>
      <c r="AX582" s="49"/>
      <c r="AY582" s="49"/>
      <c r="AZ582" s="49"/>
      <c r="BA582" s="49"/>
      <c r="BB582" s="117" t="s">
        <v>4242</v>
      </c>
      <c r="BC582" s="117" t="s">
        <v>4242</v>
      </c>
      <c r="BD582" s="117" t="s">
        <v>4926</v>
      </c>
      <c r="BE582" s="117" t="s">
        <v>4926</v>
      </c>
      <c r="BF582" s="2"/>
      <c r="BG582" s="3"/>
      <c r="BH582" s="3"/>
      <c r="BI582" s="3"/>
      <c r="BJ582" s="3"/>
    </row>
    <row r="583" spans="1:62" ht="15">
      <c r="A583" s="66" t="s">
        <v>776</v>
      </c>
      <c r="B583" s="67"/>
      <c r="C583" s="67"/>
      <c r="D583" s="68">
        <v>50</v>
      </c>
      <c r="E583" s="70"/>
      <c r="F583" s="105" t="str">
        <f>HYPERLINK("https://yt3.ggpht.com/ytc/AIf8zZTp0TDMkbAc3uzRdm2XySucubnXevNAwdxzJQ=s88-c-k-c0x00ffffff-no-rj")</f>
        <v>https://yt3.ggpht.com/ytc/AIf8zZTp0TDMkbAc3uzRdm2XySucubnXevNAwdxzJQ=s88-c-k-c0x00ffffff-no-rj</v>
      </c>
      <c r="G583" s="67"/>
      <c r="H583" s="71" t="s">
        <v>3008</v>
      </c>
      <c r="I583" s="72"/>
      <c r="J583" s="72" t="s">
        <v>159</v>
      </c>
      <c r="K583" s="71" t="s">
        <v>3008</v>
      </c>
      <c r="L583" s="75">
        <v>1</v>
      </c>
      <c r="M583" s="76">
        <v>8004.8984375</v>
      </c>
      <c r="N583" s="76">
        <v>4600.79150390625</v>
      </c>
      <c r="O583" s="77"/>
      <c r="P583" s="78"/>
      <c r="Q583" s="78"/>
      <c r="R583" s="90"/>
      <c r="S583" s="49">
        <v>0</v>
      </c>
      <c r="T583" s="49">
        <v>1</v>
      </c>
      <c r="U583" s="50">
        <v>0</v>
      </c>
      <c r="V583" s="50">
        <v>0.20049</v>
      </c>
      <c r="W583" s="51"/>
      <c r="X583" s="51"/>
      <c r="Y583" s="51"/>
      <c r="Z583" s="50"/>
      <c r="AA583" s="73">
        <v>583</v>
      </c>
      <c r="AB583" s="73"/>
      <c r="AC583" s="74"/>
      <c r="AD583" s="81" t="s">
        <v>3008</v>
      </c>
      <c r="AE583" s="81"/>
      <c r="AF583" s="81"/>
      <c r="AG583" s="81"/>
      <c r="AH583" s="81"/>
      <c r="AI583" s="81" t="s">
        <v>2242</v>
      </c>
      <c r="AJ583" s="88">
        <v>43120.03155092592</v>
      </c>
      <c r="AK583" s="86" t="str">
        <f>HYPERLINK("https://yt3.ggpht.com/ytc/AIf8zZTp0TDMkbAc3uzRdm2XySucubnXevNAwdxzJQ=s88-c-k-c0x00ffffff-no-rj")</f>
        <v>https://yt3.ggpht.com/ytc/AIf8zZTp0TDMkbAc3uzRdm2XySucubnXevNAwdxzJQ=s88-c-k-c0x00ffffff-no-rj</v>
      </c>
      <c r="AL583" s="81">
        <v>0</v>
      </c>
      <c r="AM583" s="81">
        <v>0</v>
      </c>
      <c r="AN583" s="81">
        <v>0</v>
      </c>
      <c r="AO583" s="81" t="b">
        <v>0</v>
      </c>
      <c r="AP583" s="81">
        <v>0</v>
      </c>
      <c r="AQ583" s="81"/>
      <c r="AR583" s="81"/>
      <c r="AS583" s="81" t="s">
        <v>3378</v>
      </c>
      <c r="AT583" s="86" t="str">
        <f>HYPERLINK("https://www.youtube.com/channel/UCfnlhyiNcbASko1Oa82CGsg")</f>
        <v>https://www.youtube.com/channel/UCfnlhyiNcbASko1Oa82CGsg</v>
      </c>
      <c r="AU583" s="81" t="str">
        <f>REPLACE(INDEX(GroupVertices[Group],MATCH("~"&amp;Vertices[[#This Row],[Vertex]],GroupVertices[Vertex],0)),1,1,"")</f>
        <v>5</v>
      </c>
      <c r="AV583" s="49"/>
      <c r="AW583" s="49"/>
      <c r="AX583" s="49"/>
      <c r="AY583" s="49"/>
      <c r="AZ583" s="49"/>
      <c r="BA583" s="49"/>
      <c r="BB583" s="117" t="s">
        <v>4243</v>
      </c>
      <c r="BC583" s="117" t="s">
        <v>4243</v>
      </c>
      <c r="BD583" s="117" t="s">
        <v>4927</v>
      </c>
      <c r="BE583" s="117" t="s">
        <v>4927</v>
      </c>
      <c r="BF583" s="2"/>
      <c r="BG583" s="3"/>
      <c r="BH583" s="3"/>
      <c r="BI583" s="3"/>
      <c r="BJ583" s="3"/>
    </row>
    <row r="584" spans="1:62" ht="15">
      <c r="A584" s="66" t="s">
        <v>777</v>
      </c>
      <c r="B584" s="67"/>
      <c r="C584" s="67"/>
      <c r="D584" s="68">
        <v>50</v>
      </c>
      <c r="E584" s="70"/>
      <c r="F584" s="105" t="str">
        <f>HYPERLINK("https://yt3.ggpht.com/rNa7cq0PYF9ZM4HPOZCRmxj-h8iTUPO7DzkiXTr8GBZ3V6klRTOZCt5llWebTKHXvwIdFU9EtA=s88-c-k-c0x00ffffff-no-rj")</f>
        <v>https://yt3.ggpht.com/rNa7cq0PYF9ZM4HPOZCRmxj-h8iTUPO7DzkiXTr8GBZ3V6klRTOZCt5llWebTKHXvwIdFU9EtA=s88-c-k-c0x00ffffff-no-rj</v>
      </c>
      <c r="G584" s="67"/>
      <c r="H584" s="71" t="s">
        <v>3009</v>
      </c>
      <c r="I584" s="72"/>
      <c r="J584" s="72" t="s">
        <v>159</v>
      </c>
      <c r="K584" s="71" t="s">
        <v>3009</v>
      </c>
      <c r="L584" s="75">
        <v>1</v>
      </c>
      <c r="M584" s="76">
        <v>6980.1455078125</v>
      </c>
      <c r="N584" s="76">
        <v>1100.6124267578125</v>
      </c>
      <c r="O584" s="77"/>
      <c r="P584" s="78"/>
      <c r="Q584" s="78"/>
      <c r="R584" s="90"/>
      <c r="S584" s="49">
        <v>0</v>
      </c>
      <c r="T584" s="49">
        <v>1</v>
      </c>
      <c r="U584" s="50">
        <v>0</v>
      </c>
      <c r="V584" s="50">
        <v>0.20049</v>
      </c>
      <c r="W584" s="51"/>
      <c r="X584" s="51"/>
      <c r="Y584" s="51"/>
      <c r="Z584" s="50"/>
      <c r="AA584" s="73">
        <v>584</v>
      </c>
      <c r="AB584" s="73"/>
      <c r="AC584" s="74"/>
      <c r="AD584" s="81" t="s">
        <v>3009</v>
      </c>
      <c r="AE584" s="81"/>
      <c r="AF584" s="81"/>
      <c r="AG584" s="81"/>
      <c r="AH584" s="81"/>
      <c r="AI584" s="81" t="s">
        <v>2243</v>
      </c>
      <c r="AJ584" s="88">
        <v>44665.16763888889</v>
      </c>
      <c r="AK584" s="86" t="str">
        <f>HYPERLINK("https://yt3.ggpht.com/rNa7cq0PYF9ZM4HPOZCRmxj-h8iTUPO7DzkiXTr8GBZ3V6klRTOZCt5llWebTKHXvwIdFU9EtA=s88-c-k-c0x00ffffff-no-rj")</f>
        <v>https://yt3.ggpht.com/rNa7cq0PYF9ZM4HPOZCRmxj-h8iTUPO7DzkiXTr8GBZ3V6klRTOZCt5llWebTKHXvwIdFU9EtA=s88-c-k-c0x00ffffff-no-rj</v>
      </c>
      <c r="AL584" s="81">
        <v>0</v>
      </c>
      <c r="AM584" s="81">
        <v>0</v>
      </c>
      <c r="AN584" s="81">
        <v>3</v>
      </c>
      <c r="AO584" s="81" t="b">
        <v>0</v>
      </c>
      <c r="AP584" s="81">
        <v>0</v>
      </c>
      <c r="AQ584" s="81"/>
      <c r="AR584" s="81"/>
      <c r="AS584" s="81" t="s">
        <v>3378</v>
      </c>
      <c r="AT584" s="86" t="str">
        <f>HYPERLINK("https://www.youtube.com/channel/UCK0k5cwsno8L-CdWrYzLGUQ")</f>
        <v>https://www.youtube.com/channel/UCK0k5cwsno8L-CdWrYzLGUQ</v>
      </c>
      <c r="AU584" s="81" t="str">
        <f>REPLACE(INDEX(GroupVertices[Group],MATCH("~"&amp;Vertices[[#This Row],[Vertex]],GroupVertices[Vertex],0)),1,1,"")</f>
        <v>5</v>
      </c>
      <c r="AV584" s="49"/>
      <c r="AW584" s="49"/>
      <c r="AX584" s="49"/>
      <c r="AY584" s="49"/>
      <c r="AZ584" s="49"/>
      <c r="BA584" s="49"/>
      <c r="BB584" s="117" t="s">
        <v>4244</v>
      </c>
      <c r="BC584" s="117" t="s">
        <v>4244</v>
      </c>
      <c r="BD584" s="117" t="s">
        <v>4928</v>
      </c>
      <c r="BE584" s="117" t="s">
        <v>4928</v>
      </c>
      <c r="BF584" s="2"/>
      <c r="BG584" s="3"/>
      <c r="BH584" s="3"/>
      <c r="BI584" s="3"/>
      <c r="BJ584" s="3"/>
    </row>
    <row r="585" spans="1:62" ht="15">
      <c r="A585" s="66" t="s">
        <v>778</v>
      </c>
      <c r="B585" s="67"/>
      <c r="C585" s="67"/>
      <c r="D585" s="68">
        <v>50</v>
      </c>
      <c r="E585" s="70"/>
      <c r="F585" s="105" t="str">
        <f>HYPERLINK("https://yt3.ggpht.com/ytc/AIf8zZQ0HOH2byBv6326TLHfQAw4oSIGXai7YmaDgA=s88-c-k-c0x00ffffff-no-rj")</f>
        <v>https://yt3.ggpht.com/ytc/AIf8zZQ0HOH2byBv6326TLHfQAw4oSIGXai7YmaDgA=s88-c-k-c0x00ffffff-no-rj</v>
      </c>
      <c r="G585" s="67"/>
      <c r="H585" s="71" t="s">
        <v>3010</v>
      </c>
      <c r="I585" s="72"/>
      <c r="J585" s="72" t="s">
        <v>159</v>
      </c>
      <c r="K585" s="71" t="s">
        <v>3010</v>
      </c>
      <c r="L585" s="75">
        <v>1</v>
      </c>
      <c r="M585" s="76">
        <v>8211.166015625</v>
      </c>
      <c r="N585" s="76">
        <v>2782.253662109375</v>
      </c>
      <c r="O585" s="77"/>
      <c r="P585" s="78"/>
      <c r="Q585" s="78"/>
      <c r="R585" s="90"/>
      <c r="S585" s="49">
        <v>0</v>
      </c>
      <c r="T585" s="49">
        <v>1</v>
      </c>
      <c r="U585" s="50">
        <v>0</v>
      </c>
      <c r="V585" s="50">
        <v>0.20049</v>
      </c>
      <c r="W585" s="51"/>
      <c r="X585" s="51"/>
      <c r="Y585" s="51"/>
      <c r="Z585" s="50"/>
      <c r="AA585" s="73">
        <v>585</v>
      </c>
      <c r="AB585" s="73"/>
      <c r="AC585" s="74"/>
      <c r="AD585" s="81" t="s">
        <v>3010</v>
      </c>
      <c r="AE585" s="81"/>
      <c r="AF585" s="81"/>
      <c r="AG585" s="81"/>
      <c r="AH585" s="81"/>
      <c r="AI585" s="81" t="s">
        <v>2244</v>
      </c>
      <c r="AJ585" s="88">
        <v>42108.043599537035</v>
      </c>
      <c r="AK585" s="86" t="str">
        <f>HYPERLINK("https://yt3.ggpht.com/ytc/AIf8zZQ0HOH2byBv6326TLHfQAw4oSIGXai7YmaDgA=s88-c-k-c0x00ffffff-no-rj")</f>
        <v>https://yt3.ggpht.com/ytc/AIf8zZQ0HOH2byBv6326TLHfQAw4oSIGXai7YmaDgA=s88-c-k-c0x00ffffff-no-rj</v>
      </c>
      <c r="AL585" s="81">
        <v>0</v>
      </c>
      <c r="AM585" s="81">
        <v>0</v>
      </c>
      <c r="AN585" s="81">
        <v>0</v>
      </c>
      <c r="AO585" s="81" t="b">
        <v>0</v>
      </c>
      <c r="AP585" s="81">
        <v>0</v>
      </c>
      <c r="AQ585" s="81"/>
      <c r="AR585" s="81"/>
      <c r="AS585" s="81" t="s">
        <v>3378</v>
      </c>
      <c r="AT585" s="86" t="str">
        <f>HYPERLINK("https://www.youtube.com/channel/UCV1vB5gxsm_-mVjrk3n8ssg")</f>
        <v>https://www.youtube.com/channel/UCV1vB5gxsm_-mVjrk3n8ssg</v>
      </c>
      <c r="AU585" s="81" t="str">
        <f>REPLACE(INDEX(GroupVertices[Group],MATCH("~"&amp;Vertices[[#This Row],[Vertex]],GroupVertices[Vertex],0)),1,1,"")</f>
        <v>5</v>
      </c>
      <c r="AV585" s="49"/>
      <c r="AW585" s="49"/>
      <c r="AX585" s="49"/>
      <c r="AY585" s="49"/>
      <c r="AZ585" s="49"/>
      <c r="BA585" s="49"/>
      <c r="BB585" s="117" t="s">
        <v>4245</v>
      </c>
      <c r="BC585" s="117" t="s">
        <v>4245</v>
      </c>
      <c r="BD585" s="117" t="s">
        <v>4929</v>
      </c>
      <c r="BE585" s="117" t="s">
        <v>4929</v>
      </c>
      <c r="BF585" s="2"/>
      <c r="BG585" s="3"/>
      <c r="BH585" s="3"/>
      <c r="BI585" s="3"/>
      <c r="BJ585" s="3"/>
    </row>
    <row r="586" spans="1:62" ht="15">
      <c r="A586" s="66" t="s">
        <v>779</v>
      </c>
      <c r="B586" s="67"/>
      <c r="C586" s="67"/>
      <c r="D586" s="68">
        <v>50</v>
      </c>
      <c r="E586" s="70"/>
      <c r="F586" s="105" t="str">
        <f>HYPERLINK("https://yt3.ggpht.com/ytc/AIf8zZQYnAEQR0Bp5kfLPe_WsoHxvtcg4tNRDx8YAyZETg=s88-c-k-c0x00ffffff-no-rj")</f>
        <v>https://yt3.ggpht.com/ytc/AIf8zZQYnAEQR0Bp5kfLPe_WsoHxvtcg4tNRDx8YAyZETg=s88-c-k-c0x00ffffff-no-rj</v>
      </c>
      <c r="G586" s="67"/>
      <c r="H586" s="71" t="s">
        <v>3011</v>
      </c>
      <c r="I586" s="72"/>
      <c r="J586" s="72" t="s">
        <v>159</v>
      </c>
      <c r="K586" s="71" t="s">
        <v>3011</v>
      </c>
      <c r="L586" s="75">
        <v>1</v>
      </c>
      <c r="M586" s="76">
        <v>7262.7412109375</v>
      </c>
      <c r="N586" s="76">
        <v>422.0140380859375</v>
      </c>
      <c r="O586" s="77"/>
      <c r="P586" s="78"/>
      <c r="Q586" s="78"/>
      <c r="R586" s="90"/>
      <c r="S586" s="49">
        <v>0</v>
      </c>
      <c r="T586" s="49">
        <v>1</v>
      </c>
      <c r="U586" s="50">
        <v>0</v>
      </c>
      <c r="V586" s="50">
        <v>0.20049</v>
      </c>
      <c r="W586" s="51"/>
      <c r="X586" s="51"/>
      <c r="Y586" s="51"/>
      <c r="Z586" s="50"/>
      <c r="AA586" s="73">
        <v>586</v>
      </c>
      <c r="AB586" s="73"/>
      <c r="AC586" s="74"/>
      <c r="AD586" s="81" t="s">
        <v>3011</v>
      </c>
      <c r="AE586" s="81"/>
      <c r="AF586" s="81"/>
      <c r="AG586" s="81"/>
      <c r="AH586" s="81"/>
      <c r="AI586" s="81" t="s">
        <v>3356</v>
      </c>
      <c r="AJ586" s="88">
        <v>40874.08315972222</v>
      </c>
      <c r="AK586" s="86" t="str">
        <f>HYPERLINK("https://yt3.ggpht.com/ytc/AIf8zZQYnAEQR0Bp5kfLPe_WsoHxvtcg4tNRDx8YAyZETg=s88-c-k-c0x00ffffff-no-rj")</f>
        <v>https://yt3.ggpht.com/ytc/AIf8zZQYnAEQR0Bp5kfLPe_WsoHxvtcg4tNRDx8YAyZETg=s88-c-k-c0x00ffffff-no-rj</v>
      </c>
      <c r="AL586" s="81">
        <v>0</v>
      </c>
      <c r="AM586" s="81">
        <v>0</v>
      </c>
      <c r="AN586" s="81">
        <v>0</v>
      </c>
      <c r="AO586" s="81" t="b">
        <v>0</v>
      </c>
      <c r="AP586" s="81">
        <v>0</v>
      </c>
      <c r="AQ586" s="81"/>
      <c r="AR586" s="81"/>
      <c r="AS586" s="81" t="s">
        <v>3378</v>
      </c>
      <c r="AT586" s="86" t="str">
        <f>HYPERLINK("https://www.youtube.com/channel/UC2eG-zOL4v3_NYatOVssahA")</f>
        <v>https://www.youtube.com/channel/UC2eG-zOL4v3_NYatOVssahA</v>
      </c>
      <c r="AU586" s="81" t="str">
        <f>REPLACE(INDEX(GroupVertices[Group],MATCH("~"&amp;Vertices[[#This Row],[Vertex]],GroupVertices[Vertex],0)),1,1,"")</f>
        <v>5</v>
      </c>
      <c r="AV586" s="49"/>
      <c r="AW586" s="49"/>
      <c r="AX586" s="49"/>
      <c r="AY586" s="49"/>
      <c r="AZ586" s="49"/>
      <c r="BA586" s="49"/>
      <c r="BB586" s="117" t="s">
        <v>4246</v>
      </c>
      <c r="BC586" s="117" t="s">
        <v>4246</v>
      </c>
      <c r="BD586" s="117" t="s">
        <v>4930</v>
      </c>
      <c r="BE586" s="117" t="s">
        <v>4930</v>
      </c>
      <c r="BF586" s="2"/>
      <c r="BG586" s="3"/>
      <c r="BH586" s="3"/>
      <c r="BI586" s="3"/>
      <c r="BJ586" s="3"/>
    </row>
    <row r="587" spans="1:62" ht="15">
      <c r="A587" s="66" t="s">
        <v>780</v>
      </c>
      <c r="B587" s="67"/>
      <c r="C587" s="67"/>
      <c r="D587" s="68">
        <v>50</v>
      </c>
      <c r="E587" s="70"/>
      <c r="F587" s="105" t="str">
        <f>HYPERLINK("https://yt3.ggpht.com/ytc/AIf8zZSLup3ZlmZVW9swK15EY5cSUy0C8e9xDMFxfhKe5IgjrMEyN1WH-XvAUehdOXyq=s88-c-k-c0x00ffffff-no-rj")</f>
        <v>https://yt3.ggpht.com/ytc/AIf8zZSLup3ZlmZVW9swK15EY5cSUy0C8e9xDMFxfhKe5IgjrMEyN1WH-XvAUehdOXyq=s88-c-k-c0x00ffffff-no-rj</v>
      </c>
      <c r="G587" s="67"/>
      <c r="H587" s="71" t="s">
        <v>3012</v>
      </c>
      <c r="I587" s="72"/>
      <c r="J587" s="72" t="s">
        <v>159</v>
      </c>
      <c r="K587" s="71" t="s">
        <v>3012</v>
      </c>
      <c r="L587" s="75">
        <v>1</v>
      </c>
      <c r="M587" s="76">
        <v>6092.80908203125</v>
      </c>
      <c r="N587" s="76">
        <v>2895.960693359375</v>
      </c>
      <c r="O587" s="77"/>
      <c r="P587" s="78"/>
      <c r="Q587" s="78"/>
      <c r="R587" s="90"/>
      <c r="S587" s="49">
        <v>0</v>
      </c>
      <c r="T587" s="49">
        <v>1</v>
      </c>
      <c r="U587" s="50">
        <v>0</v>
      </c>
      <c r="V587" s="50">
        <v>0.20049</v>
      </c>
      <c r="W587" s="51"/>
      <c r="X587" s="51"/>
      <c r="Y587" s="51"/>
      <c r="Z587" s="50"/>
      <c r="AA587" s="73">
        <v>587</v>
      </c>
      <c r="AB587" s="73"/>
      <c r="AC587" s="74"/>
      <c r="AD587" s="81" t="s">
        <v>3012</v>
      </c>
      <c r="AE587" s="81"/>
      <c r="AF587" s="81"/>
      <c r="AG587" s="81"/>
      <c r="AH587" s="81"/>
      <c r="AI587" s="81" t="s">
        <v>2246</v>
      </c>
      <c r="AJ587" s="88">
        <v>45293.087118055555</v>
      </c>
      <c r="AK587" s="86" t="str">
        <f>HYPERLINK("https://yt3.ggpht.com/ytc/AIf8zZSLup3ZlmZVW9swK15EY5cSUy0C8e9xDMFxfhKe5IgjrMEyN1WH-XvAUehdOXyq=s88-c-k-c0x00ffffff-no-rj")</f>
        <v>https://yt3.ggpht.com/ytc/AIf8zZSLup3ZlmZVW9swK15EY5cSUy0C8e9xDMFxfhKe5IgjrMEyN1WH-XvAUehdOXyq=s88-c-k-c0x00ffffff-no-rj</v>
      </c>
      <c r="AL587" s="81">
        <v>0</v>
      </c>
      <c r="AM587" s="81">
        <v>0</v>
      </c>
      <c r="AN587" s="81">
        <v>0</v>
      </c>
      <c r="AO587" s="81" t="b">
        <v>0</v>
      </c>
      <c r="AP587" s="81">
        <v>0</v>
      </c>
      <c r="AQ587" s="81"/>
      <c r="AR587" s="81"/>
      <c r="AS587" s="81" t="s">
        <v>3378</v>
      </c>
      <c r="AT587" s="86" t="str">
        <f>HYPERLINK("https://www.youtube.com/channel/UCENlGrR5L7pVcK3xaRyRTqQ")</f>
        <v>https://www.youtube.com/channel/UCENlGrR5L7pVcK3xaRyRTqQ</v>
      </c>
      <c r="AU587" s="81" t="str">
        <f>REPLACE(INDEX(GroupVertices[Group],MATCH("~"&amp;Vertices[[#This Row],[Vertex]],GroupVertices[Vertex],0)),1,1,"")</f>
        <v>5</v>
      </c>
      <c r="AV587" s="49"/>
      <c r="AW587" s="49"/>
      <c r="AX587" s="49"/>
      <c r="AY587" s="49"/>
      <c r="AZ587" s="49"/>
      <c r="BA587" s="49"/>
      <c r="BB587" s="117" t="s">
        <v>4247</v>
      </c>
      <c r="BC587" s="117" t="s">
        <v>4247</v>
      </c>
      <c r="BD587" s="117" t="s">
        <v>4931</v>
      </c>
      <c r="BE587" s="117" t="s">
        <v>4931</v>
      </c>
      <c r="BF587" s="2"/>
      <c r="BG587" s="3"/>
      <c r="BH587" s="3"/>
      <c r="BI587" s="3"/>
      <c r="BJ587" s="3"/>
    </row>
    <row r="588" spans="1:62" ht="15">
      <c r="A588" s="66" t="s">
        <v>781</v>
      </c>
      <c r="B588" s="67"/>
      <c r="C588" s="67"/>
      <c r="D588" s="68">
        <v>50</v>
      </c>
      <c r="E588" s="70"/>
      <c r="F588" s="105" t="str">
        <f>HYPERLINK("https://yt3.ggpht.com/jDw97J5-Jjd0aH9JCTB8wJ9OTohTt4LgZCiQKiXkNASZGBYGvAymiwru4sOiSr3xruedR7eL2A=s88-c-k-c0x00ffffff-no-rj")</f>
        <v>https://yt3.ggpht.com/jDw97J5-Jjd0aH9JCTB8wJ9OTohTt4LgZCiQKiXkNASZGBYGvAymiwru4sOiSr3xruedR7eL2A=s88-c-k-c0x00ffffff-no-rj</v>
      </c>
      <c r="G588" s="67"/>
      <c r="H588" s="71" t="s">
        <v>3013</v>
      </c>
      <c r="I588" s="72"/>
      <c r="J588" s="72" t="s">
        <v>159</v>
      </c>
      <c r="K588" s="71" t="s">
        <v>3013</v>
      </c>
      <c r="L588" s="75">
        <v>1</v>
      </c>
      <c r="M588" s="76">
        <v>7793.646484375</v>
      </c>
      <c r="N588" s="76">
        <v>4608.36279296875</v>
      </c>
      <c r="O588" s="77"/>
      <c r="P588" s="78"/>
      <c r="Q588" s="78"/>
      <c r="R588" s="90"/>
      <c r="S588" s="49">
        <v>0</v>
      </c>
      <c r="T588" s="49">
        <v>1</v>
      </c>
      <c r="U588" s="50">
        <v>0</v>
      </c>
      <c r="V588" s="50">
        <v>0.20049</v>
      </c>
      <c r="W588" s="51"/>
      <c r="X588" s="51"/>
      <c r="Y588" s="51"/>
      <c r="Z588" s="50"/>
      <c r="AA588" s="73">
        <v>588</v>
      </c>
      <c r="AB588" s="73"/>
      <c r="AC588" s="74"/>
      <c r="AD588" s="81" t="s">
        <v>3013</v>
      </c>
      <c r="AE588" s="81" t="s">
        <v>3211</v>
      </c>
      <c r="AF588" s="81"/>
      <c r="AG588" s="81"/>
      <c r="AH588" s="81"/>
      <c r="AI588" s="81" t="s">
        <v>3357</v>
      </c>
      <c r="AJ588" s="88">
        <v>45284.76167824074</v>
      </c>
      <c r="AK588" s="86" t="str">
        <f>HYPERLINK("https://yt3.ggpht.com/jDw97J5-Jjd0aH9JCTB8wJ9OTohTt4LgZCiQKiXkNASZGBYGvAymiwru4sOiSr3xruedR7eL2A=s88-c-k-c0x00ffffff-no-rj")</f>
        <v>https://yt3.ggpht.com/jDw97J5-Jjd0aH9JCTB8wJ9OTohTt4LgZCiQKiXkNASZGBYGvAymiwru4sOiSr3xruedR7eL2A=s88-c-k-c0x00ffffff-no-rj</v>
      </c>
      <c r="AL588" s="81">
        <v>1175</v>
      </c>
      <c r="AM588" s="81">
        <v>0</v>
      </c>
      <c r="AN588" s="81">
        <v>12</v>
      </c>
      <c r="AO588" s="81" t="b">
        <v>0</v>
      </c>
      <c r="AP588" s="81">
        <v>6</v>
      </c>
      <c r="AQ588" s="81"/>
      <c r="AR588" s="81"/>
      <c r="AS588" s="81" t="s">
        <v>3378</v>
      </c>
      <c r="AT588" s="86" t="str">
        <f>HYPERLINK("https://www.youtube.com/channel/UCBBjTjX-N1GvGz-ms0z6MjQ")</f>
        <v>https://www.youtube.com/channel/UCBBjTjX-N1GvGz-ms0z6MjQ</v>
      </c>
      <c r="AU588" s="81" t="str">
        <f>REPLACE(INDEX(GroupVertices[Group],MATCH("~"&amp;Vertices[[#This Row],[Vertex]],GroupVertices[Vertex],0)),1,1,"")</f>
        <v>5</v>
      </c>
      <c r="AV588" s="49"/>
      <c r="AW588" s="49"/>
      <c r="AX588" s="49"/>
      <c r="AY588" s="49"/>
      <c r="AZ588" s="49"/>
      <c r="BA588" s="49"/>
      <c r="BB588" s="117" t="s">
        <v>4248</v>
      </c>
      <c r="BC588" s="117" t="s">
        <v>4248</v>
      </c>
      <c r="BD588" s="117" t="s">
        <v>4932</v>
      </c>
      <c r="BE588" s="117" t="s">
        <v>4932</v>
      </c>
      <c r="BF588" s="2"/>
      <c r="BG588" s="3"/>
      <c r="BH588" s="3"/>
      <c r="BI588" s="3"/>
      <c r="BJ588" s="3"/>
    </row>
    <row r="589" spans="1:62" ht="15">
      <c r="A589" s="66" t="s">
        <v>782</v>
      </c>
      <c r="B589" s="67"/>
      <c r="C589" s="67"/>
      <c r="D589" s="68">
        <v>50</v>
      </c>
      <c r="E589" s="70"/>
      <c r="F589" s="105" t="str">
        <f>HYPERLINK("https://yt3.ggpht.com/ytc/AIf8zZR82ub0EMzn2IVF7xyn9r5bYA06omLwWD7_nKYe0qqXAg=s88-c-k-c0x00ffffff-no-rj")</f>
        <v>https://yt3.ggpht.com/ytc/AIf8zZR82ub0EMzn2IVF7xyn9r5bYA06omLwWD7_nKYe0qqXAg=s88-c-k-c0x00ffffff-no-rj</v>
      </c>
      <c r="G589" s="67"/>
      <c r="H589" s="71" t="s">
        <v>3014</v>
      </c>
      <c r="I589" s="72"/>
      <c r="J589" s="72" t="s">
        <v>159</v>
      </c>
      <c r="K589" s="71" t="s">
        <v>3014</v>
      </c>
      <c r="L589" s="75">
        <v>1</v>
      </c>
      <c r="M589" s="76">
        <v>7954.58935546875</v>
      </c>
      <c r="N589" s="76">
        <v>3541.672119140625</v>
      </c>
      <c r="O589" s="77"/>
      <c r="P589" s="78"/>
      <c r="Q589" s="78"/>
      <c r="R589" s="90"/>
      <c r="S589" s="49">
        <v>0</v>
      </c>
      <c r="T589" s="49">
        <v>1</v>
      </c>
      <c r="U589" s="50">
        <v>0</v>
      </c>
      <c r="V589" s="50">
        <v>0.20049</v>
      </c>
      <c r="W589" s="51"/>
      <c r="X589" s="51"/>
      <c r="Y589" s="51"/>
      <c r="Z589" s="50"/>
      <c r="AA589" s="73">
        <v>589</v>
      </c>
      <c r="AB589" s="73"/>
      <c r="AC589" s="74"/>
      <c r="AD589" s="81" t="s">
        <v>3014</v>
      </c>
      <c r="AE589" s="81" t="s">
        <v>3212</v>
      </c>
      <c r="AF589" s="81"/>
      <c r="AG589" s="81"/>
      <c r="AH589" s="81"/>
      <c r="AI589" s="81" t="s">
        <v>2248</v>
      </c>
      <c r="AJ589" s="88">
        <v>41779.89962962963</v>
      </c>
      <c r="AK589" s="86" t="str">
        <f>HYPERLINK("https://yt3.ggpht.com/ytc/AIf8zZR82ub0EMzn2IVF7xyn9r5bYA06omLwWD7_nKYe0qqXAg=s88-c-k-c0x00ffffff-no-rj")</f>
        <v>https://yt3.ggpht.com/ytc/AIf8zZR82ub0EMzn2IVF7xyn9r5bYA06omLwWD7_nKYe0qqXAg=s88-c-k-c0x00ffffff-no-rj</v>
      </c>
      <c r="AL589" s="81">
        <v>7</v>
      </c>
      <c r="AM589" s="81">
        <v>0</v>
      </c>
      <c r="AN589" s="81">
        <v>3</v>
      </c>
      <c r="AO589" s="81" t="b">
        <v>0</v>
      </c>
      <c r="AP589" s="81">
        <v>1</v>
      </c>
      <c r="AQ589" s="81"/>
      <c r="AR589" s="81"/>
      <c r="AS589" s="81" t="s">
        <v>3378</v>
      </c>
      <c r="AT589" s="86" t="str">
        <f>HYPERLINK("https://www.youtube.com/channel/UClrO_-oVlZqeMkas9rScHKA")</f>
        <v>https://www.youtube.com/channel/UClrO_-oVlZqeMkas9rScHKA</v>
      </c>
      <c r="AU589" s="81" t="str">
        <f>REPLACE(INDEX(GroupVertices[Group],MATCH("~"&amp;Vertices[[#This Row],[Vertex]],GroupVertices[Vertex],0)),1,1,"")</f>
        <v>5</v>
      </c>
      <c r="AV589" s="49"/>
      <c r="AW589" s="49"/>
      <c r="AX589" s="49"/>
      <c r="AY589" s="49"/>
      <c r="AZ589" s="49"/>
      <c r="BA589" s="49"/>
      <c r="BB589" s="117" t="s">
        <v>4249</v>
      </c>
      <c r="BC589" s="117" t="s">
        <v>4249</v>
      </c>
      <c r="BD589" s="117" t="s">
        <v>4933</v>
      </c>
      <c r="BE589" s="117" t="s">
        <v>4933</v>
      </c>
      <c r="BF589" s="2"/>
      <c r="BG589" s="3"/>
      <c r="BH589" s="3"/>
      <c r="BI589" s="3"/>
      <c r="BJ589" s="3"/>
    </row>
    <row r="590" spans="1:62" ht="15">
      <c r="A590" s="66" t="s">
        <v>783</v>
      </c>
      <c r="B590" s="67"/>
      <c r="C590" s="67"/>
      <c r="D590" s="68">
        <v>50</v>
      </c>
      <c r="E590" s="70"/>
      <c r="F590" s="105" t="str">
        <f>HYPERLINK("https://yt3.ggpht.com/ytc/AIf8zZS9aoxWF9es3GxFx8rwxkXg0mNE37_UCWagqcts=s88-c-k-c0x00ffffff-no-rj")</f>
        <v>https://yt3.ggpht.com/ytc/AIf8zZS9aoxWF9es3GxFx8rwxkXg0mNE37_UCWagqcts=s88-c-k-c0x00ffffff-no-rj</v>
      </c>
      <c r="G590" s="67"/>
      <c r="H590" s="71" t="s">
        <v>3015</v>
      </c>
      <c r="I590" s="72"/>
      <c r="J590" s="72" t="s">
        <v>159</v>
      </c>
      <c r="K590" s="71" t="s">
        <v>3015</v>
      </c>
      <c r="L590" s="75">
        <v>1</v>
      </c>
      <c r="M590" s="76">
        <v>7455.83056640625</v>
      </c>
      <c r="N590" s="76">
        <v>5389.86083984375</v>
      </c>
      <c r="O590" s="77"/>
      <c r="P590" s="78"/>
      <c r="Q590" s="78"/>
      <c r="R590" s="90"/>
      <c r="S590" s="49">
        <v>0</v>
      </c>
      <c r="T590" s="49">
        <v>1</v>
      </c>
      <c r="U590" s="50">
        <v>0</v>
      </c>
      <c r="V590" s="50">
        <v>0.20049</v>
      </c>
      <c r="W590" s="51"/>
      <c r="X590" s="51"/>
      <c r="Y590" s="51"/>
      <c r="Z590" s="50"/>
      <c r="AA590" s="73">
        <v>590</v>
      </c>
      <c r="AB590" s="73"/>
      <c r="AC590" s="74"/>
      <c r="AD590" s="81" t="s">
        <v>3015</v>
      </c>
      <c r="AE590" s="81"/>
      <c r="AF590" s="81"/>
      <c r="AG590" s="81"/>
      <c r="AH590" s="81"/>
      <c r="AI590" s="81" t="s">
        <v>2249</v>
      </c>
      <c r="AJ590" s="88">
        <v>41799.33634259259</v>
      </c>
      <c r="AK590" s="86" t="str">
        <f>HYPERLINK("https://yt3.ggpht.com/ytc/AIf8zZS9aoxWF9es3GxFx8rwxkXg0mNE37_UCWagqcts=s88-c-k-c0x00ffffff-no-rj")</f>
        <v>https://yt3.ggpht.com/ytc/AIf8zZS9aoxWF9es3GxFx8rwxkXg0mNE37_UCWagqcts=s88-c-k-c0x00ffffff-no-rj</v>
      </c>
      <c r="AL590" s="81">
        <v>0</v>
      </c>
      <c r="AM590" s="81">
        <v>0</v>
      </c>
      <c r="AN590" s="81">
        <v>2</v>
      </c>
      <c r="AO590" s="81" t="b">
        <v>0</v>
      </c>
      <c r="AP590" s="81">
        <v>0</v>
      </c>
      <c r="AQ590" s="81"/>
      <c r="AR590" s="81"/>
      <c r="AS590" s="81" t="s">
        <v>3378</v>
      </c>
      <c r="AT590" s="86" t="str">
        <f>HYPERLINK("https://www.youtube.com/channel/UC3xKd0SITTGWENyWSgnLjAQ")</f>
        <v>https://www.youtube.com/channel/UC3xKd0SITTGWENyWSgnLjAQ</v>
      </c>
      <c r="AU590" s="81" t="str">
        <f>REPLACE(INDEX(GroupVertices[Group],MATCH("~"&amp;Vertices[[#This Row],[Vertex]],GroupVertices[Vertex],0)),1,1,"")</f>
        <v>5</v>
      </c>
      <c r="AV590" s="49"/>
      <c r="AW590" s="49"/>
      <c r="AX590" s="49"/>
      <c r="AY590" s="49"/>
      <c r="AZ590" s="49"/>
      <c r="BA590" s="49"/>
      <c r="BB590" s="117" t="s">
        <v>4250</v>
      </c>
      <c r="BC590" s="117" t="s">
        <v>4250</v>
      </c>
      <c r="BD590" s="117" t="s">
        <v>4934</v>
      </c>
      <c r="BE590" s="117" t="s">
        <v>4934</v>
      </c>
      <c r="BF590" s="2"/>
      <c r="BG590" s="3"/>
      <c r="BH590" s="3"/>
      <c r="BI590" s="3"/>
      <c r="BJ590" s="3"/>
    </row>
    <row r="591" spans="1:62" ht="15">
      <c r="A591" s="66" t="s">
        <v>784</v>
      </c>
      <c r="B591" s="67"/>
      <c r="C591" s="67"/>
      <c r="D591" s="68">
        <v>50</v>
      </c>
      <c r="E591" s="70"/>
      <c r="F591" s="105" t="str">
        <f>HYPERLINK("https://yt3.ggpht.com/ytc/AIf8zZS04C1IA8SbDGWJbLy-3Jgll6zpy96Yl02KO_Jc3g=s88-c-k-c0x00ffffff-no-rj")</f>
        <v>https://yt3.ggpht.com/ytc/AIf8zZS04C1IA8SbDGWJbLy-3Jgll6zpy96Yl02KO_Jc3g=s88-c-k-c0x00ffffff-no-rj</v>
      </c>
      <c r="G591" s="67"/>
      <c r="H591" s="71" t="s">
        <v>3016</v>
      </c>
      <c r="I591" s="72"/>
      <c r="J591" s="72" t="s">
        <v>159</v>
      </c>
      <c r="K591" s="71" t="s">
        <v>3016</v>
      </c>
      <c r="L591" s="75">
        <v>1</v>
      </c>
      <c r="M591" s="76">
        <v>7611.76611328125</v>
      </c>
      <c r="N591" s="76">
        <v>3865.34521484375</v>
      </c>
      <c r="O591" s="77"/>
      <c r="P591" s="78"/>
      <c r="Q591" s="78"/>
      <c r="R591" s="90"/>
      <c r="S591" s="49">
        <v>0</v>
      </c>
      <c r="T591" s="49">
        <v>1</v>
      </c>
      <c r="U591" s="50">
        <v>0</v>
      </c>
      <c r="V591" s="50">
        <v>0.20049</v>
      </c>
      <c r="W591" s="51"/>
      <c r="X591" s="51"/>
      <c r="Y591" s="51"/>
      <c r="Z591" s="50"/>
      <c r="AA591" s="73">
        <v>591</v>
      </c>
      <c r="AB591" s="73"/>
      <c r="AC591" s="74"/>
      <c r="AD591" s="81" t="s">
        <v>3016</v>
      </c>
      <c r="AE591" s="81"/>
      <c r="AF591" s="81"/>
      <c r="AG591" s="81"/>
      <c r="AH591" s="81"/>
      <c r="AI591" s="81" t="s">
        <v>2250</v>
      </c>
      <c r="AJ591" s="88">
        <v>39785.553402777776</v>
      </c>
      <c r="AK591" s="86" t="str">
        <f>HYPERLINK("https://yt3.ggpht.com/ytc/AIf8zZS04C1IA8SbDGWJbLy-3Jgll6zpy96Yl02KO_Jc3g=s88-c-k-c0x00ffffff-no-rj")</f>
        <v>https://yt3.ggpht.com/ytc/AIf8zZS04C1IA8SbDGWJbLy-3Jgll6zpy96Yl02KO_Jc3g=s88-c-k-c0x00ffffff-no-rj</v>
      </c>
      <c r="AL591" s="81">
        <v>0</v>
      </c>
      <c r="AM591" s="81">
        <v>0</v>
      </c>
      <c r="AN591" s="81">
        <v>1</v>
      </c>
      <c r="AO591" s="81" t="b">
        <v>0</v>
      </c>
      <c r="AP591" s="81">
        <v>0</v>
      </c>
      <c r="AQ591" s="81"/>
      <c r="AR591" s="81"/>
      <c r="AS591" s="81" t="s">
        <v>3378</v>
      </c>
      <c r="AT591" s="86" t="str">
        <f>HYPERLINK("https://www.youtube.com/channel/UC7aQKMmxHtFECtz8qAOSW5Q")</f>
        <v>https://www.youtube.com/channel/UC7aQKMmxHtFECtz8qAOSW5Q</v>
      </c>
      <c r="AU591" s="81" t="str">
        <f>REPLACE(INDEX(GroupVertices[Group],MATCH("~"&amp;Vertices[[#This Row],[Vertex]],GroupVertices[Vertex],0)),1,1,"")</f>
        <v>5</v>
      </c>
      <c r="AV591" s="49"/>
      <c r="AW591" s="49"/>
      <c r="AX591" s="49"/>
      <c r="AY591" s="49"/>
      <c r="AZ591" s="49"/>
      <c r="BA591" s="49"/>
      <c r="BB591" s="117" t="s">
        <v>1543</v>
      </c>
      <c r="BC591" s="117" t="s">
        <v>1543</v>
      </c>
      <c r="BD591" s="117" t="s">
        <v>2423</v>
      </c>
      <c r="BE591" s="117" t="s">
        <v>2423</v>
      </c>
      <c r="BF591" s="2"/>
      <c r="BG591" s="3"/>
      <c r="BH591" s="3"/>
      <c r="BI591" s="3"/>
      <c r="BJ591" s="3"/>
    </row>
    <row r="592" spans="1:62" ht="15">
      <c r="A592" s="66" t="s">
        <v>785</v>
      </c>
      <c r="B592" s="67"/>
      <c r="C592" s="67"/>
      <c r="D592" s="68">
        <v>50</v>
      </c>
      <c r="E592" s="70"/>
      <c r="F592" s="105" t="str">
        <f>HYPERLINK("https://yt3.ggpht.com/ytc/AIf8zZRIIvH9igbMsDpS8_-5CnETiAk2U7B_CjtPUDO45w=s88-c-k-c0x00ffffff-no-rj")</f>
        <v>https://yt3.ggpht.com/ytc/AIf8zZRIIvH9igbMsDpS8_-5CnETiAk2U7B_CjtPUDO45w=s88-c-k-c0x00ffffff-no-rj</v>
      </c>
      <c r="G592" s="67"/>
      <c r="H592" s="71" t="s">
        <v>3017</v>
      </c>
      <c r="I592" s="72"/>
      <c r="J592" s="72" t="s">
        <v>159</v>
      </c>
      <c r="K592" s="71" t="s">
        <v>3017</v>
      </c>
      <c r="L592" s="75">
        <v>1</v>
      </c>
      <c r="M592" s="76">
        <v>6226.9638671875</v>
      </c>
      <c r="N592" s="76">
        <v>4194.39599609375</v>
      </c>
      <c r="O592" s="77"/>
      <c r="P592" s="78"/>
      <c r="Q592" s="78"/>
      <c r="R592" s="90"/>
      <c r="S592" s="49">
        <v>0</v>
      </c>
      <c r="T592" s="49">
        <v>1</v>
      </c>
      <c r="U592" s="50">
        <v>0</v>
      </c>
      <c r="V592" s="50">
        <v>0.20049</v>
      </c>
      <c r="W592" s="51"/>
      <c r="X592" s="51"/>
      <c r="Y592" s="51"/>
      <c r="Z592" s="50"/>
      <c r="AA592" s="73">
        <v>592</v>
      </c>
      <c r="AB592" s="73"/>
      <c r="AC592" s="74"/>
      <c r="AD592" s="81" t="s">
        <v>3017</v>
      </c>
      <c r="AE592" s="81"/>
      <c r="AF592" s="81"/>
      <c r="AG592" s="81"/>
      <c r="AH592" s="81"/>
      <c r="AI592" s="81" t="s">
        <v>3358</v>
      </c>
      <c r="AJ592" s="88">
        <v>40817.27559027778</v>
      </c>
      <c r="AK592" s="86" t="str">
        <f>HYPERLINK("https://yt3.ggpht.com/ytc/AIf8zZRIIvH9igbMsDpS8_-5CnETiAk2U7B_CjtPUDO45w=s88-c-k-c0x00ffffff-no-rj")</f>
        <v>https://yt3.ggpht.com/ytc/AIf8zZRIIvH9igbMsDpS8_-5CnETiAk2U7B_CjtPUDO45w=s88-c-k-c0x00ffffff-no-rj</v>
      </c>
      <c r="AL592" s="81">
        <v>225998</v>
      </c>
      <c r="AM592" s="81">
        <v>0</v>
      </c>
      <c r="AN592" s="81">
        <v>2240</v>
      </c>
      <c r="AO592" s="81" t="b">
        <v>0</v>
      </c>
      <c r="AP592" s="81">
        <v>634</v>
      </c>
      <c r="AQ592" s="81"/>
      <c r="AR592" s="81"/>
      <c r="AS592" s="81" t="s">
        <v>3378</v>
      </c>
      <c r="AT592" s="86" t="str">
        <f>HYPERLINK("https://www.youtube.com/channel/UCDylOm1eqwfMynNpaM0SpPQ")</f>
        <v>https://www.youtube.com/channel/UCDylOm1eqwfMynNpaM0SpPQ</v>
      </c>
      <c r="AU592" s="81" t="str">
        <f>REPLACE(INDEX(GroupVertices[Group],MATCH("~"&amp;Vertices[[#This Row],[Vertex]],GroupVertices[Vertex],0)),1,1,"")</f>
        <v>5</v>
      </c>
      <c r="AV592" s="49"/>
      <c r="AW592" s="49"/>
      <c r="AX592" s="49"/>
      <c r="AY592" s="49"/>
      <c r="AZ592" s="49"/>
      <c r="BA592" s="49"/>
      <c r="BB592" s="117" t="s">
        <v>4251</v>
      </c>
      <c r="BC592" s="117" t="s">
        <v>4377</v>
      </c>
      <c r="BD592" s="117" t="s">
        <v>4935</v>
      </c>
      <c r="BE592" s="117" t="s">
        <v>4935</v>
      </c>
      <c r="BF592" s="2"/>
      <c r="BG592" s="3"/>
      <c r="BH592" s="3"/>
      <c r="BI592" s="3"/>
      <c r="BJ592" s="3"/>
    </row>
    <row r="593" spans="1:62" ht="15">
      <c r="A593" s="66" t="s">
        <v>786</v>
      </c>
      <c r="B593" s="67"/>
      <c r="C593" s="67"/>
      <c r="D593" s="68">
        <v>50</v>
      </c>
      <c r="E593" s="70"/>
      <c r="F593" s="105" t="str">
        <f>HYPERLINK("https://yt3.ggpht.com/ytc/AIf8zZSGrFDTzoyQaxCTShaSPAEwEaYpcKGwfkDcgg=s88-c-k-c0x00ffffff-no-rj")</f>
        <v>https://yt3.ggpht.com/ytc/AIf8zZSGrFDTzoyQaxCTShaSPAEwEaYpcKGwfkDcgg=s88-c-k-c0x00ffffff-no-rj</v>
      </c>
      <c r="G593" s="67"/>
      <c r="H593" s="71" t="s">
        <v>3018</v>
      </c>
      <c r="I593" s="72"/>
      <c r="J593" s="72" t="s">
        <v>159</v>
      </c>
      <c r="K593" s="71" t="s">
        <v>3018</v>
      </c>
      <c r="L593" s="75">
        <v>1</v>
      </c>
      <c r="M593" s="76">
        <v>6822.982421875</v>
      </c>
      <c r="N593" s="76">
        <v>1092.3623046875</v>
      </c>
      <c r="O593" s="77"/>
      <c r="P593" s="78"/>
      <c r="Q593" s="78"/>
      <c r="R593" s="90"/>
      <c r="S593" s="49">
        <v>0</v>
      </c>
      <c r="T593" s="49">
        <v>1</v>
      </c>
      <c r="U593" s="50">
        <v>0</v>
      </c>
      <c r="V593" s="50">
        <v>0.20049</v>
      </c>
      <c r="W593" s="51"/>
      <c r="X593" s="51"/>
      <c r="Y593" s="51"/>
      <c r="Z593" s="50"/>
      <c r="AA593" s="73">
        <v>593</v>
      </c>
      <c r="AB593" s="73"/>
      <c r="AC593" s="74"/>
      <c r="AD593" s="81" t="s">
        <v>3018</v>
      </c>
      <c r="AE593" s="81"/>
      <c r="AF593" s="81"/>
      <c r="AG593" s="81"/>
      <c r="AH593" s="81"/>
      <c r="AI593" s="81" t="s">
        <v>2252</v>
      </c>
      <c r="AJ593" s="88">
        <v>43657.22986111111</v>
      </c>
      <c r="AK593" s="86" t="str">
        <f>HYPERLINK("https://yt3.ggpht.com/ytc/AIf8zZSGrFDTzoyQaxCTShaSPAEwEaYpcKGwfkDcgg=s88-c-k-c0x00ffffff-no-rj")</f>
        <v>https://yt3.ggpht.com/ytc/AIf8zZSGrFDTzoyQaxCTShaSPAEwEaYpcKGwfkDcgg=s88-c-k-c0x00ffffff-no-rj</v>
      </c>
      <c r="AL593" s="81">
        <v>0</v>
      </c>
      <c r="AM593" s="81">
        <v>0</v>
      </c>
      <c r="AN593" s="81">
        <v>0</v>
      </c>
      <c r="AO593" s="81" t="b">
        <v>0</v>
      </c>
      <c r="AP593" s="81">
        <v>0</v>
      </c>
      <c r="AQ593" s="81"/>
      <c r="AR593" s="81"/>
      <c r="AS593" s="81" t="s">
        <v>3378</v>
      </c>
      <c r="AT593" s="86" t="str">
        <f>HYPERLINK("https://www.youtube.com/channel/UCf-UvR81khdNB-yGnKNwxSQ")</f>
        <v>https://www.youtube.com/channel/UCf-UvR81khdNB-yGnKNwxSQ</v>
      </c>
      <c r="AU593" s="81" t="str">
        <f>REPLACE(INDEX(GroupVertices[Group],MATCH("~"&amp;Vertices[[#This Row],[Vertex]],GroupVertices[Vertex],0)),1,1,"")</f>
        <v>5</v>
      </c>
      <c r="AV593" s="49"/>
      <c r="AW593" s="49"/>
      <c r="AX593" s="49"/>
      <c r="AY593" s="49"/>
      <c r="AZ593" s="49"/>
      <c r="BA593" s="49"/>
      <c r="BB593" s="117" t="s">
        <v>4252</v>
      </c>
      <c r="BC593" s="117" t="s">
        <v>4378</v>
      </c>
      <c r="BD593" s="117" t="s">
        <v>4936</v>
      </c>
      <c r="BE593" s="117" t="s">
        <v>4936</v>
      </c>
      <c r="BF593" s="2"/>
      <c r="BG593" s="3"/>
      <c r="BH593" s="3"/>
      <c r="BI593" s="3"/>
      <c r="BJ593" s="3"/>
    </row>
    <row r="594" spans="1:62" ht="15">
      <c r="A594" s="66" t="s">
        <v>787</v>
      </c>
      <c r="B594" s="67"/>
      <c r="C594" s="67"/>
      <c r="D594" s="68">
        <v>50</v>
      </c>
      <c r="E594" s="70"/>
      <c r="F594" s="105" t="str">
        <f>HYPERLINK("https://yt3.ggpht.com/ytc/AIf8zZSJsx2onAYZcextuYlIAp-INvJAXhT9bAIvcLjsig=s88-c-k-c0x00ffffff-no-rj")</f>
        <v>https://yt3.ggpht.com/ytc/AIf8zZSJsx2onAYZcextuYlIAp-INvJAXhT9bAIvcLjsig=s88-c-k-c0x00ffffff-no-rj</v>
      </c>
      <c r="G594" s="67"/>
      <c r="H594" s="71" t="s">
        <v>3019</v>
      </c>
      <c r="I594" s="72"/>
      <c r="J594" s="72" t="s">
        <v>159</v>
      </c>
      <c r="K594" s="71" t="s">
        <v>3019</v>
      </c>
      <c r="L594" s="75">
        <v>1</v>
      </c>
      <c r="M594" s="76">
        <v>7950.93994140625</v>
      </c>
      <c r="N594" s="76">
        <v>1390.466064453125</v>
      </c>
      <c r="O594" s="77"/>
      <c r="P594" s="78"/>
      <c r="Q594" s="78"/>
      <c r="R594" s="90"/>
      <c r="S594" s="49">
        <v>0</v>
      </c>
      <c r="T594" s="49">
        <v>1</v>
      </c>
      <c r="U594" s="50">
        <v>0</v>
      </c>
      <c r="V594" s="50">
        <v>0.20049</v>
      </c>
      <c r="W594" s="51"/>
      <c r="X594" s="51"/>
      <c r="Y594" s="51"/>
      <c r="Z594" s="50"/>
      <c r="AA594" s="73">
        <v>594</v>
      </c>
      <c r="AB594" s="73"/>
      <c r="AC594" s="74"/>
      <c r="AD594" s="81" t="s">
        <v>3019</v>
      </c>
      <c r="AE594" s="81"/>
      <c r="AF594" s="81"/>
      <c r="AG594" s="81"/>
      <c r="AH594" s="81"/>
      <c r="AI594" s="81" t="s">
        <v>2253</v>
      </c>
      <c r="AJ594" s="88">
        <v>41027.89912037037</v>
      </c>
      <c r="AK594" s="86" t="str">
        <f>HYPERLINK("https://yt3.ggpht.com/ytc/AIf8zZSJsx2onAYZcextuYlIAp-INvJAXhT9bAIvcLjsig=s88-c-k-c0x00ffffff-no-rj")</f>
        <v>https://yt3.ggpht.com/ytc/AIf8zZSJsx2onAYZcextuYlIAp-INvJAXhT9bAIvcLjsig=s88-c-k-c0x00ffffff-no-rj</v>
      </c>
      <c r="AL594" s="81">
        <v>1040</v>
      </c>
      <c r="AM594" s="81">
        <v>0</v>
      </c>
      <c r="AN594" s="81">
        <v>2</v>
      </c>
      <c r="AO594" s="81" t="b">
        <v>0</v>
      </c>
      <c r="AP594" s="81">
        <v>3</v>
      </c>
      <c r="AQ594" s="81"/>
      <c r="AR594" s="81"/>
      <c r="AS594" s="81" t="s">
        <v>3378</v>
      </c>
      <c r="AT594" s="86" t="str">
        <f>HYPERLINK("https://www.youtube.com/channel/UC9rP5NH6dEKSDNuxMuZ-QgQ")</f>
        <v>https://www.youtube.com/channel/UC9rP5NH6dEKSDNuxMuZ-QgQ</v>
      </c>
      <c r="AU594" s="81" t="str">
        <f>REPLACE(INDEX(GroupVertices[Group],MATCH("~"&amp;Vertices[[#This Row],[Vertex]],GroupVertices[Vertex],0)),1,1,"")</f>
        <v>5</v>
      </c>
      <c r="AV594" s="49"/>
      <c r="AW594" s="49"/>
      <c r="AX594" s="49"/>
      <c r="AY594" s="49"/>
      <c r="AZ594" s="49"/>
      <c r="BA594" s="49"/>
      <c r="BB594" s="117" t="s">
        <v>4253</v>
      </c>
      <c r="BC594" s="117" t="s">
        <v>4253</v>
      </c>
      <c r="BD594" s="117" t="s">
        <v>4937</v>
      </c>
      <c r="BE594" s="117" t="s">
        <v>4937</v>
      </c>
      <c r="BF594" s="2"/>
      <c r="BG594" s="3"/>
      <c r="BH594" s="3"/>
      <c r="BI594" s="3"/>
      <c r="BJ594" s="3"/>
    </row>
    <row r="595" spans="1:62" ht="15">
      <c r="A595" s="66" t="s">
        <v>788</v>
      </c>
      <c r="B595" s="67"/>
      <c r="C595" s="67"/>
      <c r="D595" s="68">
        <v>50</v>
      </c>
      <c r="E595" s="70"/>
      <c r="F595" s="105" t="str">
        <f>HYPERLINK("https://yt3.ggpht.com/ytc/AIf8zZTiDL1N3UegqxZKqcjXDhEcA8Sw_Usu_BkEnwKwbQ=s88-c-k-c0x00ffffff-no-rj")</f>
        <v>https://yt3.ggpht.com/ytc/AIf8zZTiDL1N3UegqxZKqcjXDhEcA8Sw_Usu_BkEnwKwbQ=s88-c-k-c0x00ffffff-no-rj</v>
      </c>
      <c r="G595" s="67"/>
      <c r="H595" s="71" t="s">
        <v>3020</v>
      </c>
      <c r="I595" s="72"/>
      <c r="J595" s="72" t="s">
        <v>159</v>
      </c>
      <c r="K595" s="71" t="s">
        <v>3020</v>
      </c>
      <c r="L595" s="75">
        <v>1</v>
      </c>
      <c r="M595" s="76">
        <v>7884.4580078125</v>
      </c>
      <c r="N595" s="76">
        <v>1468.78515625</v>
      </c>
      <c r="O595" s="77"/>
      <c r="P595" s="78"/>
      <c r="Q595" s="78"/>
      <c r="R595" s="90"/>
      <c r="S595" s="49">
        <v>0</v>
      </c>
      <c r="T595" s="49">
        <v>1</v>
      </c>
      <c r="U595" s="50">
        <v>0</v>
      </c>
      <c r="V595" s="50">
        <v>0.20049</v>
      </c>
      <c r="W595" s="51"/>
      <c r="X595" s="51"/>
      <c r="Y595" s="51"/>
      <c r="Z595" s="50"/>
      <c r="AA595" s="73">
        <v>595</v>
      </c>
      <c r="AB595" s="73"/>
      <c r="AC595" s="74"/>
      <c r="AD595" s="81" t="s">
        <v>3020</v>
      </c>
      <c r="AE595" s="81"/>
      <c r="AF595" s="81"/>
      <c r="AG595" s="81"/>
      <c r="AH595" s="81"/>
      <c r="AI595" s="81" t="s">
        <v>2254</v>
      </c>
      <c r="AJ595" s="88">
        <v>42347.32435185185</v>
      </c>
      <c r="AK595" s="86" t="str">
        <f>HYPERLINK("https://yt3.ggpht.com/ytc/AIf8zZTiDL1N3UegqxZKqcjXDhEcA8Sw_Usu_BkEnwKwbQ=s88-c-k-c0x00ffffff-no-rj")</f>
        <v>https://yt3.ggpht.com/ytc/AIf8zZTiDL1N3UegqxZKqcjXDhEcA8Sw_Usu_BkEnwKwbQ=s88-c-k-c0x00ffffff-no-rj</v>
      </c>
      <c r="AL595" s="81">
        <v>0</v>
      </c>
      <c r="AM595" s="81">
        <v>0</v>
      </c>
      <c r="AN595" s="81">
        <v>5</v>
      </c>
      <c r="AO595" s="81" t="b">
        <v>0</v>
      </c>
      <c r="AP595" s="81">
        <v>0</v>
      </c>
      <c r="AQ595" s="81"/>
      <c r="AR595" s="81"/>
      <c r="AS595" s="81" t="s">
        <v>3378</v>
      </c>
      <c r="AT595" s="86" t="str">
        <f>HYPERLINK("https://www.youtube.com/channel/UCnc1riW0kKBbNsGaMk8V-DA")</f>
        <v>https://www.youtube.com/channel/UCnc1riW0kKBbNsGaMk8V-DA</v>
      </c>
      <c r="AU595" s="81" t="str">
        <f>REPLACE(INDEX(GroupVertices[Group],MATCH("~"&amp;Vertices[[#This Row],[Vertex]],GroupVertices[Vertex],0)),1,1,"")</f>
        <v>5</v>
      </c>
      <c r="AV595" s="49"/>
      <c r="AW595" s="49"/>
      <c r="AX595" s="49"/>
      <c r="AY595" s="49"/>
      <c r="AZ595" s="49"/>
      <c r="BA595" s="49"/>
      <c r="BB595" s="117" t="s">
        <v>4254</v>
      </c>
      <c r="BC595" s="117" t="s">
        <v>4254</v>
      </c>
      <c r="BD595" s="117" t="s">
        <v>4938</v>
      </c>
      <c r="BE595" s="117" t="s">
        <v>4938</v>
      </c>
      <c r="BF595" s="2"/>
      <c r="BG595" s="3"/>
      <c r="BH595" s="3"/>
      <c r="BI595" s="3"/>
      <c r="BJ595" s="3"/>
    </row>
    <row r="596" spans="1:62" ht="15">
      <c r="A596" s="66" t="s">
        <v>789</v>
      </c>
      <c r="B596" s="67"/>
      <c r="C596" s="67"/>
      <c r="D596" s="68">
        <v>50</v>
      </c>
      <c r="E596" s="70"/>
      <c r="F596" s="105" t="str">
        <f>HYPERLINK("https://yt3.ggpht.com/ytc/AIf8zZSFN_Ved9VHIBYgSeY5H-8sHxyajBLqMqkxoGg4jA=s88-c-k-c0x00ffffff-no-rj")</f>
        <v>https://yt3.ggpht.com/ytc/AIf8zZSFN_Ved9VHIBYgSeY5H-8sHxyajBLqMqkxoGg4jA=s88-c-k-c0x00ffffff-no-rj</v>
      </c>
      <c r="G596" s="67"/>
      <c r="H596" s="71" t="s">
        <v>3021</v>
      </c>
      <c r="I596" s="72"/>
      <c r="J596" s="72" t="s">
        <v>159</v>
      </c>
      <c r="K596" s="71" t="s">
        <v>3021</v>
      </c>
      <c r="L596" s="75">
        <v>1</v>
      </c>
      <c r="M596" s="76">
        <v>7216.67822265625</v>
      </c>
      <c r="N596" s="76">
        <v>1436.82666015625</v>
      </c>
      <c r="O596" s="77"/>
      <c r="P596" s="78"/>
      <c r="Q596" s="78"/>
      <c r="R596" s="90"/>
      <c r="S596" s="49">
        <v>0</v>
      </c>
      <c r="T596" s="49">
        <v>1</v>
      </c>
      <c r="U596" s="50">
        <v>0</v>
      </c>
      <c r="V596" s="50">
        <v>0.20049</v>
      </c>
      <c r="W596" s="51"/>
      <c r="X596" s="51"/>
      <c r="Y596" s="51"/>
      <c r="Z596" s="50"/>
      <c r="AA596" s="73">
        <v>596</v>
      </c>
      <c r="AB596" s="73"/>
      <c r="AC596" s="74"/>
      <c r="AD596" s="81" t="s">
        <v>3021</v>
      </c>
      <c r="AE596" s="81"/>
      <c r="AF596" s="81"/>
      <c r="AG596" s="81"/>
      <c r="AH596" s="81"/>
      <c r="AI596" s="81" t="s">
        <v>3359</v>
      </c>
      <c r="AJ596" s="88">
        <v>40116.08934027778</v>
      </c>
      <c r="AK596" s="86" t="str">
        <f>HYPERLINK("https://yt3.ggpht.com/ytc/AIf8zZSFN_Ved9VHIBYgSeY5H-8sHxyajBLqMqkxoGg4jA=s88-c-k-c0x00ffffff-no-rj")</f>
        <v>https://yt3.ggpht.com/ytc/AIf8zZSFN_Ved9VHIBYgSeY5H-8sHxyajBLqMqkxoGg4jA=s88-c-k-c0x00ffffff-no-rj</v>
      </c>
      <c r="AL596" s="81">
        <v>0</v>
      </c>
      <c r="AM596" s="81">
        <v>0</v>
      </c>
      <c r="AN596" s="81">
        <v>3</v>
      </c>
      <c r="AO596" s="81" t="b">
        <v>0</v>
      </c>
      <c r="AP596" s="81">
        <v>0</v>
      </c>
      <c r="AQ596" s="81"/>
      <c r="AR596" s="81"/>
      <c r="AS596" s="81" t="s">
        <v>3378</v>
      </c>
      <c r="AT596" s="86" t="str">
        <f>HYPERLINK("https://www.youtube.com/channel/UC3iGlcr2nXFqkalqIg-DhNw")</f>
        <v>https://www.youtube.com/channel/UC3iGlcr2nXFqkalqIg-DhNw</v>
      </c>
      <c r="AU596" s="81" t="str">
        <f>REPLACE(INDEX(GroupVertices[Group],MATCH("~"&amp;Vertices[[#This Row],[Vertex]],GroupVertices[Vertex],0)),1,1,"")</f>
        <v>5</v>
      </c>
      <c r="AV596" s="49"/>
      <c r="AW596" s="49"/>
      <c r="AX596" s="49"/>
      <c r="AY596" s="49"/>
      <c r="AZ596" s="49"/>
      <c r="BA596" s="49"/>
      <c r="BB596" s="117" t="s">
        <v>4255</v>
      </c>
      <c r="BC596" s="117" t="s">
        <v>4255</v>
      </c>
      <c r="BD596" s="117" t="s">
        <v>4939</v>
      </c>
      <c r="BE596" s="117" t="s">
        <v>4939</v>
      </c>
      <c r="BF596" s="2"/>
      <c r="BG596" s="3"/>
      <c r="BH596" s="3"/>
      <c r="BI596" s="3"/>
      <c r="BJ596" s="3"/>
    </row>
    <row r="597" spans="1:62" ht="15">
      <c r="A597" s="66" t="s">
        <v>790</v>
      </c>
      <c r="B597" s="67"/>
      <c r="C597" s="67"/>
      <c r="D597" s="68">
        <v>50</v>
      </c>
      <c r="E597" s="70"/>
      <c r="F597" s="105" t="str">
        <f>HYPERLINK("https://yt3.ggpht.com/ytc/AIf8zZTkmSqJ86I5ljYqO_6Ej_tvyRKRueCQG0qGNbZVAua_hJqZ3usT9tmx5tJxCDYx=s88-c-k-c0x00ffffff-no-rj")</f>
        <v>https://yt3.ggpht.com/ytc/AIf8zZTkmSqJ86I5ljYqO_6Ej_tvyRKRueCQG0qGNbZVAua_hJqZ3usT9tmx5tJxCDYx=s88-c-k-c0x00ffffff-no-rj</v>
      </c>
      <c r="G597" s="67"/>
      <c r="H597" s="71" t="s">
        <v>3022</v>
      </c>
      <c r="I597" s="72"/>
      <c r="J597" s="72" t="s">
        <v>159</v>
      </c>
      <c r="K597" s="71" t="s">
        <v>3022</v>
      </c>
      <c r="L597" s="75">
        <v>1</v>
      </c>
      <c r="M597" s="76">
        <v>7535.02978515625</v>
      </c>
      <c r="N597" s="76">
        <v>4447.5615234375</v>
      </c>
      <c r="O597" s="77"/>
      <c r="P597" s="78"/>
      <c r="Q597" s="78"/>
      <c r="R597" s="90"/>
      <c r="S597" s="49">
        <v>0</v>
      </c>
      <c r="T597" s="49">
        <v>1</v>
      </c>
      <c r="U597" s="50">
        <v>0</v>
      </c>
      <c r="V597" s="50">
        <v>0.20049</v>
      </c>
      <c r="W597" s="51"/>
      <c r="X597" s="51"/>
      <c r="Y597" s="51"/>
      <c r="Z597" s="50"/>
      <c r="AA597" s="73">
        <v>597</v>
      </c>
      <c r="AB597" s="73"/>
      <c r="AC597" s="74"/>
      <c r="AD597" s="81" t="s">
        <v>3022</v>
      </c>
      <c r="AE597" s="81"/>
      <c r="AF597" s="81"/>
      <c r="AG597" s="81"/>
      <c r="AH597" s="81"/>
      <c r="AI597" s="81" t="s">
        <v>2256</v>
      </c>
      <c r="AJ597" s="88">
        <v>44585.97697916667</v>
      </c>
      <c r="AK597" s="86" t="str">
        <f>HYPERLINK("https://yt3.ggpht.com/ytc/AIf8zZTkmSqJ86I5ljYqO_6Ej_tvyRKRueCQG0qGNbZVAua_hJqZ3usT9tmx5tJxCDYx=s88-c-k-c0x00ffffff-no-rj")</f>
        <v>https://yt3.ggpht.com/ytc/AIf8zZTkmSqJ86I5ljYqO_6Ej_tvyRKRueCQG0qGNbZVAua_hJqZ3usT9tmx5tJxCDYx=s88-c-k-c0x00ffffff-no-rj</v>
      </c>
      <c r="AL597" s="81">
        <v>0</v>
      </c>
      <c r="AM597" s="81">
        <v>0</v>
      </c>
      <c r="AN597" s="81">
        <v>1</v>
      </c>
      <c r="AO597" s="81" t="b">
        <v>0</v>
      </c>
      <c r="AP597" s="81">
        <v>0</v>
      </c>
      <c r="AQ597" s="81"/>
      <c r="AR597" s="81"/>
      <c r="AS597" s="81" t="s">
        <v>3378</v>
      </c>
      <c r="AT597" s="86" t="str">
        <f>HYPERLINK("https://www.youtube.com/channel/UCYgk1yZGdAaarTUBVGUrJ_w")</f>
        <v>https://www.youtube.com/channel/UCYgk1yZGdAaarTUBVGUrJ_w</v>
      </c>
      <c r="AU597" s="81" t="str">
        <f>REPLACE(INDEX(GroupVertices[Group],MATCH("~"&amp;Vertices[[#This Row],[Vertex]],GroupVertices[Vertex],0)),1,1,"")</f>
        <v>5</v>
      </c>
      <c r="AV597" s="49"/>
      <c r="AW597" s="49"/>
      <c r="AX597" s="49"/>
      <c r="AY597" s="49"/>
      <c r="AZ597" s="49"/>
      <c r="BA597" s="49"/>
      <c r="BB597" s="117" t="s">
        <v>4256</v>
      </c>
      <c r="BC597" s="117" t="s">
        <v>4256</v>
      </c>
      <c r="BD597" s="117" t="s">
        <v>2423</v>
      </c>
      <c r="BE597" s="117" t="s">
        <v>2423</v>
      </c>
      <c r="BF597" s="2"/>
      <c r="BG597" s="3"/>
      <c r="BH597" s="3"/>
      <c r="BI597" s="3"/>
      <c r="BJ597" s="3"/>
    </row>
    <row r="598" spans="1:62" ht="15">
      <c r="A598" s="66" t="s">
        <v>792</v>
      </c>
      <c r="B598" s="67"/>
      <c r="C598" s="67"/>
      <c r="D598" s="68">
        <v>50</v>
      </c>
      <c r="E598" s="70"/>
      <c r="F598" s="105" t="str">
        <f>HYPERLINK("https://yt3.ggpht.com/QqGCiVH0G30TSabw2KGIvq8-tT3-uSx4a3OsdzSwwBl6UDJzMKp1m1fY4-irJq0j_Lv9Zw5mHA=s88-c-k-c0x00ffffff-no-rj")</f>
        <v>https://yt3.ggpht.com/QqGCiVH0G30TSabw2KGIvq8-tT3-uSx4a3OsdzSwwBl6UDJzMKp1m1fY4-irJq0j_Lv9Zw5mHA=s88-c-k-c0x00ffffff-no-rj</v>
      </c>
      <c r="G598" s="67"/>
      <c r="H598" s="71" t="s">
        <v>3024</v>
      </c>
      <c r="I598" s="72"/>
      <c r="J598" s="72" t="s">
        <v>159</v>
      </c>
      <c r="K598" s="71" t="s">
        <v>3024</v>
      </c>
      <c r="L598" s="75">
        <v>1</v>
      </c>
      <c r="M598" s="76">
        <v>6460.14404296875</v>
      </c>
      <c r="N598" s="76">
        <v>1183.8017578125</v>
      </c>
      <c r="O598" s="77"/>
      <c r="P598" s="78"/>
      <c r="Q598" s="78"/>
      <c r="R598" s="90"/>
      <c r="S598" s="49">
        <v>0</v>
      </c>
      <c r="T598" s="49">
        <v>1</v>
      </c>
      <c r="U598" s="50">
        <v>0</v>
      </c>
      <c r="V598" s="50">
        <v>0.20049</v>
      </c>
      <c r="W598" s="51"/>
      <c r="X598" s="51"/>
      <c r="Y598" s="51"/>
      <c r="Z598" s="50"/>
      <c r="AA598" s="73">
        <v>598</v>
      </c>
      <c r="AB598" s="73"/>
      <c r="AC598" s="74"/>
      <c r="AD598" s="81" t="s">
        <v>3024</v>
      </c>
      <c r="AE598" s="81" t="s">
        <v>3214</v>
      </c>
      <c r="AF598" s="81"/>
      <c r="AG598" s="81"/>
      <c r="AH598" s="81"/>
      <c r="AI598" s="81" t="s">
        <v>2258</v>
      </c>
      <c r="AJ598" s="88">
        <v>41386.204050925924</v>
      </c>
      <c r="AK598" s="86" t="str">
        <f>HYPERLINK("https://yt3.ggpht.com/QqGCiVH0G30TSabw2KGIvq8-tT3-uSx4a3OsdzSwwBl6UDJzMKp1m1fY4-irJq0j_Lv9Zw5mHA=s88-c-k-c0x00ffffff-no-rj")</f>
        <v>https://yt3.ggpht.com/QqGCiVH0G30TSabw2KGIvq8-tT3-uSx4a3OsdzSwwBl6UDJzMKp1m1fY4-irJq0j_Lv9Zw5mHA=s88-c-k-c0x00ffffff-no-rj</v>
      </c>
      <c r="AL598" s="81">
        <v>21295</v>
      </c>
      <c r="AM598" s="81">
        <v>0</v>
      </c>
      <c r="AN598" s="81">
        <v>45</v>
      </c>
      <c r="AO598" s="81" t="b">
        <v>0</v>
      </c>
      <c r="AP598" s="81">
        <v>48</v>
      </c>
      <c r="AQ598" s="81"/>
      <c r="AR598" s="81"/>
      <c r="AS598" s="81" t="s">
        <v>3378</v>
      </c>
      <c r="AT598" s="86" t="str">
        <f>HYPERLINK("https://www.youtube.com/channel/UCRU8CY6Kv0M_pNzLmmaWHHQ")</f>
        <v>https://www.youtube.com/channel/UCRU8CY6Kv0M_pNzLmmaWHHQ</v>
      </c>
      <c r="AU598" s="81" t="str">
        <f>REPLACE(INDEX(GroupVertices[Group],MATCH("~"&amp;Vertices[[#This Row],[Vertex]],GroupVertices[Vertex],0)),1,1,"")</f>
        <v>5</v>
      </c>
      <c r="AV598" s="49"/>
      <c r="AW598" s="49"/>
      <c r="AX598" s="49"/>
      <c r="AY598" s="49"/>
      <c r="AZ598" s="49"/>
      <c r="BA598" s="49"/>
      <c r="BB598" s="117" t="s">
        <v>4258</v>
      </c>
      <c r="BC598" s="117" t="s">
        <v>4258</v>
      </c>
      <c r="BD598" s="117" t="s">
        <v>4941</v>
      </c>
      <c r="BE598" s="117" t="s">
        <v>4941</v>
      </c>
      <c r="BF598" s="2"/>
      <c r="BG598" s="3"/>
      <c r="BH598" s="3"/>
      <c r="BI598" s="3"/>
      <c r="BJ598" s="3"/>
    </row>
    <row r="599" spans="1:62" ht="15">
      <c r="A599" s="66" t="s">
        <v>793</v>
      </c>
      <c r="B599" s="67"/>
      <c r="C599" s="67"/>
      <c r="D599" s="68">
        <v>50</v>
      </c>
      <c r="E599" s="70"/>
      <c r="F599" s="105" t="str">
        <f>HYPERLINK("https://yt3.ggpht.com/ytc/AIf8zZR4ZUfEUXiXtYKuvEZCX1pA4Ns7iDyICOzWZQUi1w=s88-c-k-c0x00ffffff-no-rj")</f>
        <v>https://yt3.ggpht.com/ytc/AIf8zZR4ZUfEUXiXtYKuvEZCX1pA4Ns7iDyICOzWZQUi1w=s88-c-k-c0x00ffffff-no-rj</v>
      </c>
      <c r="G599" s="67"/>
      <c r="H599" s="71" t="s">
        <v>3025</v>
      </c>
      <c r="I599" s="72"/>
      <c r="J599" s="72" t="s">
        <v>159</v>
      </c>
      <c r="K599" s="71" t="s">
        <v>3025</v>
      </c>
      <c r="L599" s="75">
        <v>1</v>
      </c>
      <c r="M599" s="76">
        <v>6445.220703125</v>
      </c>
      <c r="N599" s="76">
        <v>4902.8857421875</v>
      </c>
      <c r="O599" s="77"/>
      <c r="P599" s="78"/>
      <c r="Q599" s="78"/>
      <c r="R599" s="90"/>
      <c r="S599" s="49">
        <v>0</v>
      </c>
      <c r="T599" s="49">
        <v>1</v>
      </c>
      <c r="U599" s="50">
        <v>0</v>
      </c>
      <c r="V599" s="50">
        <v>0.20049</v>
      </c>
      <c r="W599" s="51"/>
      <c r="X599" s="51"/>
      <c r="Y599" s="51"/>
      <c r="Z599" s="50"/>
      <c r="AA599" s="73">
        <v>599</v>
      </c>
      <c r="AB599" s="73"/>
      <c r="AC599" s="74"/>
      <c r="AD599" s="81" t="s">
        <v>3025</v>
      </c>
      <c r="AE599" s="81"/>
      <c r="AF599" s="81"/>
      <c r="AG599" s="81"/>
      <c r="AH599" s="81"/>
      <c r="AI599" s="81" t="s">
        <v>2259</v>
      </c>
      <c r="AJ599" s="88">
        <v>44329.9056712963</v>
      </c>
      <c r="AK599" s="86" t="str">
        <f>HYPERLINK("https://yt3.ggpht.com/ytc/AIf8zZR4ZUfEUXiXtYKuvEZCX1pA4Ns7iDyICOzWZQUi1w=s88-c-k-c0x00ffffff-no-rj")</f>
        <v>https://yt3.ggpht.com/ytc/AIf8zZR4ZUfEUXiXtYKuvEZCX1pA4Ns7iDyICOzWZQUi1w=s88-c-k-c0x00ffffff-no-rj</v>
      </c>
      <c r="AL599" s="81">
        <v>0</v>
      </c>
      <c r="AM599" s="81">
        <v>0</v>
      </c>
      <c r="AN599" s="81">
        <v>0</v>
      </c>
      <c r="AO599" s="81" t="b">
        <v>0</v>
      </c>
      <c r="AP599" s="81">
        <v>0</v>
      </c>
      <c r="AQ599" s="81"/>
      <c r="AR599" s="81"/>
      <c r="AS599" s="81" t="s">
        <v>3378</v>
      </c>
      <c r="AT599" s="86" t="str">
        <f>HYPERLINK("https://www.youtube.com/channel/UC1QPaL3PjQsHEMeXU3FiWIw")</f>
        <v>https://www.youtube.com/channel/UC1QPaL3PjQsHEMeXU3FiWIw</v>
      </c>
      <c r="AU599" s="81" t="str">
        <f>REPLACE(INDEX(GroupVertices[Group],MATCH("~"&amp;Vertices[[#This Row],[Vertex]],GroupVertices[Vertex],0)),1,1,"")</f>
        <v>5</v>
      </c>
      <c r="AV599" s="49"/>
      <c r="AW599" s="49"/>
      <c r="AX599" s="49"/>
      <c r="AY599" s="49"/>
      <c r="AZ599" s="49"/>
      <c r="BA599" s="49"/>
      <c r="BB599" s="117" t="s">
        <v>1555</v>
      </c>
      <c r="BC599" s="117" t="s">
        <v>1555</v>
      </c>
      <c r="BD599" s="117" t="s">
        <v>2423</v>
      </c>
      <c r="BE599" s="117" t="s">
        <v>2423</v>
      </c>
      <c r="BF599" s="2"/>
      <c r="BG599" s="3"/>
      <c r="BH599" s="3"/>
      <c r="BI599" s="3"/>
      <c r="BJ599" s="3"/>
    </row>
    <row r="600" spans="1:62" ht="15">
      <c r="A600" s="66" t="s">
        <v>794</v>
      </c>
      <c r="B600" s="67"/>
      <c r="C600" s="67"/>
      <c r="D600" s="68">
        <v>50</v>
      </c>
      <c r="E600" s="70"/>
      <c r="F600" s="105" t="str">
        <f>HYPERLINK("https://yt3.ggpht.com/ytc/AIf8zZTkvvrZHmwqrAKMAX3z6PzDoDPqFSITcb4nr_x0=s88-c-k-c0x00ffffff-no-rj")</f>
        <v>https://yt3.ggpht.com/ytc/AIf8zZTkvvrZHmwqrAKMAX3z6PzDoDPqFSITcb4nr_x0=s88-c-k-c0x00ffffff-no-rj</v>
      </c>
      <c r="G600" s="67"/>
      <c r="H600" s="71" t="s">
        <v>3026</v>
      </c>
      <c r="I600" s="72"/>
      <c r="J600" s="72" t="s">
        <v>159</v>
      </c>
      <c r="K600" s="71" t="s">
        <v>3026</v>
      </c>
      <c r="L600" s="75">
        <v>1</v>
      </c>
      <c r="M600" s="76">
        <v>7919.25439453125</v>
      </c>
      <c r="N600" s="76">
        <v>1012.7101440429688</v>
      </c>
      <c r="O600" s="77"/>
      <c r="P600" s="78"/>
      <c r="Q600" s="78"/>
      <c r="R600" s="90"/>
      <c r="S600" s="49">
        <v>0</v>
      </c>
      <c r="T600" s="49">
        <v>1</v>
      </c>
      <c r="U600" s="50">
        <v>0</v>
      </c>
      <c r="V600" s="50">
        <v>0.20049</v>
      </c>
      <c r="W600" s="51"/>
      <c r="X600" s="51"/>
      <c r="Y600" s="51"/>
      <c r="Z600" s="50"/>
      <c r="AA600" s="73">
        <v>600</v>
      </c>
      <c r="AB600" s="73"/>
      <c r="AC600" s="74"/>
      <c r="AD600" s="81" t="s">
        <v>3026</v>
      </c>
      <c r="AE600" s="81"/>
      <c r="AF600" s="81"/>
      <c r="AG600" s="81"/>
      <c r="AH600" s="81"/>
      <c r="AI600" s="81" t="s">
        <v>3360</v>
      </c>
      <c r="AJ600" s="88">
        <v>40522.73267361111</v>
      </c>
      <c r="AK600" s="86" t="str">
        <f>HYPERLINK("https://yt3.ggpht.com/ytc/AIf8zZTkvvrZHmwqrAKMAX3z6PzDoDPqFSITcb4nr_x0=s88-c-k-c0x00ffffff-no-rj")</f>
        <v>https://yt3.ggpht.com/ytc/AIf8zZTkvvrZHmwqrAKMAX3z6PzDoDPqFSITcb4nr_x0=s88-c-k-c0x00ffffff-no-rj</v>
      </c>
      <c r="AL600" s="81">
        <v>0</v>
      </c>
      <c r="AM600" s="81">
        <v>0</v>
      </c>
      <c r="AN600" s="81">
        <v>5</v>
      </c>
      <c r="AO600" s="81" t="b">
        <v>0</v>
      </c>
      <c r="AP600" s="81">
        <v>0</v>
      </c>
      <c r="AQ600" s="81"/>
      <c r="AR600" s="81"/>
      <c r="AS600" s="81" t="s">
        <v>3378</v>
      </c>
      <c r="AT600" s="86" t="str">
        <f>HYPERLINK("https://www.youtube.com/channel/UC6LjgjCbipc7v3lAB_yKQgw")</f>
        <v>https://www.youtube.com/channel/UC6LjgjCbipc7v3lAB_yKQgw</v>
      </c>
      <c r="AU600" s="81" t="str">
        <f>REPLACE(INDEX(GroupVertices[Group],MATCH("~"&amp;Vertices[[#This Row],[Vertex]],GroupVertices[Vertex],0)),1,1,"")</f>
        <v>5</v>
      </c>
      <c r="AV600" s="49"/>
      <c r="AW600" s="49"/>
      <c r="AX600" s="49"/>
      <c r="AY600" s="49"/>
      <c r="AZ600" s="49"/>
      <c r="BA600" s="49"/>
      <c r="BB600" s="117" t="s">
        <v>4259</v>
      </c>
      <c r="BC600" s="117" t="s">
        <v>4259</v>
      </c>
      <c r="BD600" s="117" t="s">
        <v>4942</v>
      </c>
      <c r="BE600" s="117" t="s">
        <v>4942</v>
      </c>
      <c r="BF600" s="2"/>
      <c r="BG600" s="3"/>
      <c r="BH600" s="3"/>
      <c r="BI600" s="3"/>
      <c r="BJ600" s="3"/>
    </row>
    <row r="601" spans="1:62" ht="15">
      <c r="A601" s="66" t="s">
        <v>795</v>
      </c>
      <c r="B601" s="67"/>
      <c r="C601" s="67"/>
      <c r="D601" s="68">
        <v>50</v>
      </c>
      <c r="E601" s="70"/>
      <c r="F601" s="105" t="str">
        <f>HYPERLINK("https://yt3.ggpht.com/ytc/AIf8zZSt0yY3vbmHtpQROUfJA5vVZu6_zrTixxwWihiOig=s88-c-k-c0x00ffffff-no-rj")</f>
        <v>https://yt3.ggpht.com/ytc/AIf8zZSt0yY3vbmHtpQROUfJA5vVZu6_zrTixxwWihiOig=s88-c-k-c0x00ffffff-no-rj</v>
      </c>
      <c r="G601" s="67"/>
      <c r="H601" s="71" t="s">
        <v>3027</v>
      </c>
      <c r="I601" s="72"/>
      <c r="J601" s="72" t="s">
        <v>159</v>
      </c>
      <c r="K601" s="71" t="s">
        <v>3027</v>
      </c>
      <c r="L601" s="75">
        <v>1</v>
      </c>
      <c r="M601" s="76">
        <v>8226.353515625</v>
      </c>
      <c r="N601" s="76">
        <v>3181.991455078125</v>
      </c>
      <c r="O601" s="77"/>
      <c r="P601" s="78"/>
      <c r="Q601" s="78"/>
      <c r="R601" s="90"/>
      <c r="S601" s="49">
        <v>0</v>
      </c>
      <c r="T601" s="49">
        <v>1</v>
      </c>
      <c r="U601" s="50">
        <v>0</v>
      </c>
      <c r="V601" s="50">
        <v>0.20049</v>
      </c>
      <c r="W601" s="51"/>
      <c r="X601" s="51"/>
      <c r="Y601" s="51"/>
      <c r="Z601" s="50"/>
      <c r="AA601" s="73">
        <v>601</v>
      </c>
      <c r="AB601" s="73"/>
      <c r="AC601" s="74"/>
      <c r="AD601" s="81" t="s">
        <v>3027</v>
      </c>
      <c r="AE601" s="81"/>
      <c r="AF601" s="81"/>
      <c r="AG601" s="81"/>
      <c r="AH601" s="81"/>
      <c r="AI601" s="81" t="s">
        <v>2261</v>
      </c>
      <c r="AJ601" s="88">
        <v>41390.51806712963</v>
      </c>
      <c r="AK601" s="86" t="str">
        <f>HYPERLINK("https://yt3.ggpht.com/ytc/AIf8zZSt0yY3vbmHtpQROUfJA5vVZu6_zrTixxwWihiOig=s88-c-k-c0x00ffffff-no-rj")</f>
        <v>https://yt3.ggpht.com/ytc/AIf8zZSt0yY3vbmHtpQROUfJA5vVZu6_zrTixxwWihiOig=s88-c-k-c0x00ffffff-no-rj</v>
      </c>
      <c r="AL601" s="81">
        <v>0</v>
      </c>
      <c r="AM601" s="81">
        <v>0</v>
      </c>
      <c r="AN601" s="81">
        <v>0</v>
      </c>
      <c r="AO601" s="81" t="b">
        <v>0</v>
      </c>
      <c r="AP601" s="81">
        <v>0</v>
      </c>
      <c r="AQ601" s="81"/>
      <c r="AR601" s="81"/>
      <c r="AS601" s="81" t="s">
        <v>3378</v>
      </c>
      <c r="AT601" s="86" t="str">
        <f>HYPERLINK("https://www.youtube.com/channel/UCNg-fnpamIO1dMzpa09iBzA")</f>
        <v>https://www.youtube.com/channel/UCNg-fnpamIO1dMzpa09iBzA</v>
      </c>
      <c r="AU601" s="81" t="str">
        <f>REPLACE(INDEX(GroupVertices[Group],MATCH("~"&amp;Vertices[[#This Row],[Vertex]],GroupVertices[Vertex],0)),1,1,"")</f>
        <v>5</v>
      </c>
      <c r="AV601" s="49"/>
      <c r="AW601" s="49"/>
      <c r="AX601" s="49"/>
      <c r="AY601" s="49"/>
      <c r="AZ601" s="49"/>
      <c r="BA601" s="49"/>
      <c r="BB601" s="117" t="s">
        <v>4260</v>
      </c>
      <c r="BC601" s="117" t="s">
        <v>4260</v>
      </c>
      <c r="BD601" s="117" t="s">
        <v>4943</v>
      </c>
      <c r="BE601" s="117" t="s">
        <v>4943</v>
      </c>
      <c r="BF601" s="2"/>
      <c r="BG601" s="3"/>
      <c r="BH601" s="3"/>
      <c r="BI601" s="3"/>
      <c r="BJ601" s="3"/>
    </row>
    <row r="602" spans="1:62" ht="15">
      <c r="A602" s="66" t="s">
        <v>796</v>
      </c>
      <c r="B602" s="67"/>
      <c r="C602" s="67"/>
      <c r="D602" s="68">
        <v>50</v>
      </c>
      <c r="E602" s="70"/>
      <c r="F602" s="105" t="str">
        <f>HYPERLINK("https://yt3.ggpht.com/Uwp0aAILn9GUtrKz7nQ88UkAgz8LWXQREJ-oQajQvrYdFLEe7VJ6mOi2tgiUtLd718997XLFeA=s88-c-k-c0x00ffffff-no-rj")</f>
        <v>https://yt3.ggpht.com/Uwp0aAILn9GUtrKz7nQ88UkAgz8LWXQREJ-oQajQvrYdFLEe7VJ6mOi2tgiUtLd718997XLFeA=s88-c-k-c0x00ffffff-no-rj</v>
      </c>
      <c r="G602" s="67"/>
      <c r="H602" s="71" t="s">
        <v>3028</v>
      </c>
      <c r="I602" s="72"/>
      <c r="J602" s="72" t="s">
        <v>159</v>
      </c>
      <c r="K602" s="71" t="s">
        <v>3028</v>
      </c>
      <c r="L602" s="75">
        <v>1</v>
      </c>
      <c r="M602" s="76">
        <v>6775.07958984375</v>
      </c>
      <c r="N602" s="76">
        <v>4416.173828125</v>
      </c>
      <c r="O602" s="77"/>
      <c r="P602" s="78"/>
      <c r="Q602" s="78"/>
      <c r="R602" s="90"/>
      <c r="S602" s="49">
        <v>0</v>
      </c>
      <c r="T602" s="49">
        <v>1</v>
      </c>
      <c r="U602" s="50">
        <v>0</v>
      </c>
      <c r="V602" s="50">
        <v>0.20049</v>
      </c>
      <c r="W602" s="51"/>
      <c r="X602" s="51"/>
      <c r="Y602" s="51"/>
      <c r="Z602" s="50"/>
      <c r="AA602" s="73">
        <v>602</v>
      </c>
      <c r="AB602" s="73"/>
      <c r="AC602" s="74"/>
      <c r="AD602" s="81" t="s">
        <v>3028</v>
      </c>
      <c r="AE602" s="81" t="s">
        <v>3215</v>
      </c>
      <c r="AF602" s="81"/>
      <c r="AG602" s="81"/>
      <c r="AH602" s="81"/>
      <c r="AI602" s="81" t="s">
        <v>2262</v>
      </c>
      <c r="AJ602" s="88">
        <v>43864.70792824074</v>
      </c>
      <c r="AK602" s="86" t="str">
        <f>HYPERLINK("https://yt3.ggpht.com/Uwp0aAILn9GUtrKz7nQ88UkAgz8LWXQREJ-oQajQvrYdFLEe7VJ6mOi2tgiUtLd718997XLFeA=s88-c-k-c0x00ffffff-no-rj")</f>
        <v>https://yt3.ggpht.com/Uwp0aAILn9GUtrKz7nQ88UkAgz8LWXQREJ-oQajQvrYdFLEe7VJ6mOi2tgiUtLd718997XLFeA=s88-c-k-c0x00ffffff-no-rj</v>
      </c>
      <c r="AL602" s="81">
        <v>254</v>
      </c>
      <c r="AM602" s="81">
        <v>0</v>
      </c>
      <c r="AN602" s="81">
        <v>82</v>
      </c>
      <c r="AO602" s="81" t="b">
        <v>0</v>
      </c>
      <c r="AP602" s="81">
        <v>6</v>
      </c>
      <c r="AQ602" s="81"/>
      <c r="AR602" s="81"/>
      <c r="AS602" s="81" t="s">
        <v>3378</v>
      </c>
      <c r="AT602" s="86" t="str">
        <f>HYPERLINK("https://www.youtube.com/channel/UCcyN1R-WcRVbIGLKMlZCqMA")</f>
        <v>https://www.youtube.com/channel/UCcyN1R-WcRVbIGLKMlZCqMA</v>
      </c>
      <c r="AU602" s="81" t="str">
        <f>REPLACE(INDEX(GroupVertices[Group],MATCH("~"&amp;Vertices[[#This Row],[Vertex]],GroupVertices[Vertex],0)),1,1,"")</f>
        <v>5</v>
      </c>
      <c r="AV602" s="49"/>
      <c r="AW602" s="49"/>
      <c r="AX602" s="49"/>
      <c r="AY602" s="49"/>
      <c r="AZ602" s="49"/>
      <c r="BA602" s="49"/>
      <c r="BB602" s="117" t="s">
        <v>4261</v>
      </c>
      <c r="BC602" s="117" t="s">
        <v>4261</v>
      </c>
      <c r="BD602" s="117" t="s">
        <v>2423</v>
      </c>
      <c r="BE602" s="117" t="s">
        <v>2423</v>
      </c>
      <c r="BF602" s="2"/>
      <c r="BG602" s="3"/>
      <c r="BH602" s="3"/>
      <c r="BI602" s="3"/>
      <c r="BJ602" s="3"/>
    </row>
    <row r="603" spans="1:62" ht="15">
      <c r="A603" s="66" t="s">
        <v>797</v>
      </c>
      <c r="B603" s="67"/>
      <c r="C603" s="67"/>
      <c r="D603" s="68">
        <v>50</v>
      </c>
      <c r="E603" s="70"/>
      <c r="F603" s="105" t="str">
        <f>HYPERLINK("https://yt3.ggpht.com/pDw5oltHvugmakM0VcAl-IbWEcLzhrI3vQidf7cb3AWJIyxejxHMeGuySM6Tqm6gC3VIQsn2-Q=s88-c-k-c0x00ffffff-no-rj")</f>
        <v>https://yt3.ggpht.com/pDw5oltHvugmakM0VcAl-IbWEcLzhrI3vQidf7cb3AWJIyxejxHMeGuySM6Tqm6gC3VIQsn2-Q=s88-c-k-c0x00ffffff-no-rj</v>
      </c>
      <c r="G603" s="67"/>
      <c r="H603" s="71" t="s">
        <v>3029</v>
      </c>
      <c r="I603" s="72"/>
      <c r="J603" s="72" t="s">
        <v>159</v>
      </c>
      <c r="K603" s="71" t="s">
        <v>3029</v>
      </c>
      <c r="L603" s="75">
        <v>1</v>
      </c>
      <c r="M603" s="76">
        <v>7959.55224609375</v>
      </c>
      <c r="N603" s="76">
        <v>3821.28857421875</v>
      </c>
      <c r="O603" s="77"/>
      <c r="P603" s="78"/>
      <c r="Q603" s="78"/>
      <c r="R603" s="90"/>
      <c r="S603" s="49">
        <v>0</v>
      </c>
      <c r="T603" s="49">
        <v>1</v>
      </c>
      <c r="U603" s="50">
        <v>0</v>
      </c>
      <c r="V603" s="50">
        <v>0.20049</v>
      </c>
      <c r="W603" s="51"/>
      <c r="X603" s="51"/>
      <c r="Y603" s="51"/>
      <c r="Z603" s="50"/>
      <c r="AA603" s="73">
        <v>603</v>
      </c>
      <c r="AB603" s="73"/>
      <c r="AC603" s="74"/>
      <c r="AD603" s="81" t="s">
        <v>3029</v>
      </c>
      <c r="AE603" s="81"/>
      <c r="AF603" s="81"/>
      <c r="AG603" s="81"/>
      <c r="AH603" s="81"/>
      <c r="AI603" s="81" t="s">
        <v>2263</v>
      </c>
      <c r="AJ603" s="88">
        <v>41190.01201388889</v>
      </c>
      <c r="AK603" s="86" t="str">
        <f>HYPERLINK("https://yt3.ggpht.com/pDw5oltHvugmakM0VcAl-IbWEcLzhrI3vQidf7cb3AWJIyxejxHMeGuySM6Tqm6gC3VIQsn2-Q=s88-c-k-c0x00ffffff-no-rj")</f>
        <v>https://yt3.ggpht.com/pDw5oltHvugmakM0VcAl-IbWEcLzhrI3vQidf7cb3AWJIyxejxHMeGuySM6Tqm6gC3VIQsn2-Q=s88-c-k-c0x00ffffff-no-rj</v>
      </c>
      <c r="AL603" s="81">
        <v>0</v>
      </c>
      <c r="AM603" s="81">
        <v>0</v>
      </c>
      <c r="AN603" s="81">
        <v>3</v>
      </c>
      <c r="AO603" s="81" t="b">
        <v>0</v>
      </c>
      <c r="AP603" s="81">
        <v>0</v>
      </c>
      <c r="AQ603" s="81"/>
      <c r="AR603" s="81"/>
      <c r="AS603" s="81" t="s">
        <v>3378</v>
      </c>
      <c r="AT603" s="86" t="str">
        <f>HYPERLINK("https://www.youtube.com/channel/UCUuELk5eDQtc0ehvlDh4COg")</f>
        <v>https://www.youtube.com/channel/UCUuELk5eDQtc0ehvlDh4COg</v>
      </c>
      <c r="AU603" s="81" t="str">
        <f>REPLACE(INDEX(GroupVertices[Group],MATCH("~"&amp;Vertices[[#This Row],[Vertex]],GroupVertices[Vertex],0)),1,1,"")</f>
        <v>5</v>
      </c>
      <c r="AV603" s="49"/>
      <c r="AW603" s="49"/>
      <c r="AX603" s="49"/>
      <c r="AY603" s="49"/>
      <c r="AZ603" s="49"/>
      <c r="BA603" s="49"/>
      <c r="BB603" s="117" t="s">
        <v>4262</v>
      </c>
      <c r="BC603" s="117" t="s">
        <v>4262</v>
      </c>
      <c r="BD603" s="117" t="s">
        <v>4944</v>
      </c>
      <c r="BE603" s="117" t="s">
        <v>4944</v>
      </c>
      <c r="BF603" s="2"/>
      <c r="BG603" s="3"/>
      <c r="BH603" s="3"/>
      <c r="BI603" s="3"/>
      <c r="BJ603" s="3"/>
    </row>
    <row r="604" spans="1:62" ht="15">
      <c r="A604" s="66" t="s">
        <v>798</v>
      </c>
      <c r="B604" s="67"/>
      <c r="C604" s="67"/>
      <c r="D604" s="68">
        <v>50</v>
      </c>
      <c r="E604" s="70"/>
      <c r="F604" s="105" t="str">
        <f>HYPERLINK("https://yt3.ggpht.com/ytc/AIf8zZRSiNmnqnHNAY6wKIspgdo5BkAuNniAuZlW0tRimFDi98MWVRo7XJxoAUNDXYcz=s88-c-k-c0x00ffffff-no-rj")</f>
        <v>https://yt3.ggpht.com/ytc/AIf8zZRSiNmnqnHNAY6wKIspgdo5BkAuNniAuZlW0tRimFDi98MWVRo7XJxoAUNDXYcz=s88-c-k-c0x00ffffff-no-rj</v>
      </c>
      <c r="G604" s="67"/>
      <c r="H604" s="71" t="s">
        <v>3030</v>
      </c>
      <c r="I604" s="72"/>
      <c r="J604" s="72" t="s">
        <v>159</v>
      </c>
      <c r="K604" s="71" t="s">
        <v>3030</v>
      </c>
      <c r="L604" s="75">
        <v>1</v>
      </c>
      <c r="M604" s="76">
        <v>7443.58203125</v>
      </c>
      <c r="N604" s="76">
        <v>298.03204345703125</v>
      </c>
      <c r="O604" s="77"/>
      <c r="P604" s="78"/>
      <c r="Q604" s="78"/>
      <c r="R604" s="90"/>
      <c r="S604" s="49">
        <v>0</v>
      </c>
      <c r="T604" s="49">
        <v>1</v>
      </c>
      <c r="U604" s="50">
        <v>0</v>
      </c>
      <c r="V604" s="50">
        <v>0.20049</v>
      </c>
      <c r="W604" s="51"/>
      <c r="X604" s="51"/>
      <c r="Y604" s="51"/>
      <c r="Z604" s="50"/>
      <c r="AA604" s="73">
        <v>604</v>
      </c>
      <c r="AB604" s="73"/>
      <c r="AC604" s="74"/>
      <c r="AD604" s="81" t="s">
        <v>3030</v>
      </c>
      <c r="AE604" s="81"/>
      <c r="AF604" s="81"/>
      <c r="AG604" s="81"/>
      <c r="AH604" s="81"/>
      <c r="AI604" s="81" t="s">
        <v>2264</v>
      </c>
      <c r="AJ604" s="88">
        <v>44560.37571759259</v>
      </c>
      <c r="AK604" s="86" t="str">
        <f>HYPERLINK("https://yt3.ggpht.com/ytc/AIf8zZRSiNmnqnHNAY6wKIspgdo5BkAuNniAuZlW0tRimFDi98MWVRo7XJxoAUNDXYcz=s88-c-k-c0x00ffffff-no-rj")</f>
        <v>https://yt3.ggpht.com/ytc/AIf8zZRSiNmnqnHNAY6wKIspgdo5BkAuNniAuZlW0tRimFDi98MWVRo7XJxoAUNDXYcz=s88-c-k-c0x00ffffff-no-rj</v>
      </c>
      <c r="AL604" s="81">
        <v>0</v>
      </c>
      <c r="AM604" s="81">
        <v>0</v>
      </c>
      <c r="AN604" s="81">
        <v>0</v>
      </c>
      <c r="AO604" s="81" t="b">
        <v>0</v>
      </c>
      <c r="AP604" s="81">
        <v>0</v>
      </c>
      <c r="AQ604" s="81"/>
      <c r="AR604" s="81"/>
      <c r="AS604" s="81" t="s">
        <v>3378</v>
      </c>
      <c r="AT604" s="86" t="str">
        <f>HYPERLINK("https://www.youtube.com/channel/UCitUtZMg7YkKGbA03X5eZgg")</f>
        <v>https://www.youtube.com/channel/UCitUtZMg7YkKGbA03X5eZgg</v>
      </c>
      <c r="AU604" s="81" t="str">
        <f>REPLACE(INDEX(GroupVertices[Group],MATCH("~"&amp;Vertices[[#This Row],[Vertex]],GroupVertices[Vertex],0)),1,1,"")</f>
        <v>5</v>
      </c>
      <c r="AV604" s="49"/>
      <c r="AW604" s="49"/>
      <c r="AX604" s="49"/>
      <c r="AY604" s="49"/>
      <c r="AZ604" s="49"/>
      <c r="BA604" s="49"/>
      <c r="BB604" s="117" t="s">
        <v>4263</v>
      </c>
      <c r="BC604" s="117" t="s">
        <v>4263</v>
      </c>
      <c r="BD604" s="117" t="s">
        <v>4945</v>
      </c>
      <c r="BE604" s="117" t="s">
        <v>4945</v>
      </c>
      <c r="BF604" s="2"/>
      <c r="BG604" s="3"/>
      <c r="BH604" s="3"/>
      <c r="BI604" s="3"/>
      <c r="BJ604" s="3"/>
    </row>
    <row r="605" spans="1:62" ht="15">
      <c r="A605" s="66" t="s">
        <v>799</v>
      </c>
      <c r="B605" s="67"/>
      <c r="C605" s="67"/>
      <c r="D605" s="68">
        <v>50</v>
      </c>
      <c r="E605" s="70"/>
      <c r="F605" s="105" t="str">
        <f>HYPERLINK("https://yt3.ggpht.com/ytc/AIf8zZQQxLLRtrG5u2usHEqlaIrJ_Sh6kDDqO6u6QXjs5Q=s88-c-k-c0x00ffffff-no-rj")</f>
        <v>https://yt3.ggpht.com/ytc/AIf8zZQQxLLRtrG5u2usHEqlaIrJ_Sh6kDDqO6u6QXjs5Q=s88-c-k-c0x00ffffff-no-rj</v>
      </c>
      <c r="G605" s="67"/>
      <c r="H605" s="71" t="s">
        <v>3031</v>
      </c>
      <c r="I605" s="72"/>
      <c r="J605" s="72" t="s">
        <v>159</v>
      </c>
      <c r="K605" s="71" t="s">
        <v>3031</v>
      </c>
      <c r="L605" s="75">
        <v>1</v>
      </c>
      <c r="M605" s="76">
        <v>7859.57275390625</v>
      </c>
      <c r="N605" s="76">
        <v>4268.72802734375</v>
      </c>
      <c r="O605" s="77"/>
      <c r="P605" s="78"/>
      <c r="Q605" s="78"/>
      <c r="R605" s="90"/>
      <c r="S605" s="49">
        <v>0</v>
      </c>
      <c r="T605" s="49">
        <v>1</v>
      </c>
      <c r="U605" s="50">
        <v>0</v>
      </c>
      <c r="V605" s="50">
        <v>0.20049</v>
      </c>
      <c r="W605" s="51"/>
      <c r="X605" s="51"/>
      <c r="Y605" s="51"/>
      <c r="Z605" s="50"/>
      <c r="AA605" s="73">
        <v>605</v>
      </c>
      <c r="AB605" s="73"/>
      <c r="AC605" s="74"/>
      <c r="AD605" s="81" t="s">
        <v>3031</v>
      </c>
      <c r="AE605" s="81"/>
      <c r="AF605" s="81"/>
      <c r="AG605" s="81"/>
      <c r="AH605" s="81"/>
      <c r="AI605" s="81" t="s">
        <v>2265</v>
      </c>
      <c r="AJ605" s="88">
        <v>39349.145532407405</v>
      </c>
      <c r="AK605" s="86" t="str">
        <f>HYPERLINK("https://yt3.ggpht.com/ytc/AIf8zZQQxLLRtrG5u2usHEqlaIrJ_Sh6kDDqO6u6QXjs5Q=s88-c-k-c0x00ffffff-no-rj")</f>
        <v>https://yt3.ggpht.com/ytc/AIf8zZQQxLLRtrG5u2usHEqlaIrJ_Sh6kDDqO6u6QXjs5Q=s88-c-k-c0x00ffffff-no-rj</v>
      </c>
      <c r="AL605" s="81">
        <v>13977</v>
      </c>
      <c r="AM605" s="81">
        <v>0</v>
      </c>
      <c r="AN605" s="81">
        <v>10</v>
      </c>
      <c r="AO605" s="81" t="b">
        <v>0</v>
      </c>
      <c r="AP605" s="81">
        <v>26</v>
      </c>
      <c r="AQ605" s="81"/>
      <c r="AR605" s="81"/>
      <c r="AS605" s="81" t="s">
        <v>3378</v>
      </c>
      <c r="AT605" s="86" t="str">
        <f>HYPERLINK("https://www.youtube.com/channel/UC_mCddWqF_0rbfCpf3-G7MQ")</f>
        <v>https://www.youtube.com/channel/UC_mCddWqF_0rbfCpf3-G7MQ</v>
      </c>
      <c r="AU605" s="81" t="str">
        <f>REPLACE(INDEX(GroupVertices[Group],MATCH("~"&amp;Vertices[[#This Row],[Vertex]],GroupVertices[Vertex],0)),1,1,"")</f>
        <v>5</v>
      </c>
      <c r="AV605" s="49"/>
      <c r="AW605" s="49"/>
      <c r="AX605" s="49"/>
      <c r="AY605" s="49"/>
      <c r="AZ605" s="49"/>
      <c r="BA605" s="49"/>
      <c r="BB605" s="117" t="s">
        <v>4264</v>
      </c>
      <c r="BC605" s="117" t="s">
        <v>4264</v>
      </c>
      <c r="BD605" s="117" t="s">
        <v>4946</v>
      </c>
      <c r="BE605" s="117" t="s">
        <v>4946</v>
      </c>
      <c r="BF605" s="2"/>
      <c r="BG605" s="3"/>
      <c r="BH605" s="3"/>
      <c r="BI605" s="3"/>
      <c r="BJ605" s="3"/>
    </row>
    <row r="606" spans="1:62" ht="15">
      <c r="A606" s="66" t="s">
        <v>801</v>
      </c>
      <c r="B606" s="67"/>
      <c r="C606" s="67"/>
      <c r="D606" s="68">
        <v>50</v>
      </c>
      <c r="E606" s="70"/>
      <c r="F606" s="105" t="str">
        <f>HYPERLINK("https://yt3.ggpht.com/ytc/AIf8zZRb8F3yetP831SjuxDne2aphXVHttPh6Fd-pA=s88-c-k-c0x00ffffff-no-rj")</f>
        <v>https://yt3.ggpht.com/ytc/AIf8zZRb8F3yetP831SjuxDne2aphXVHttPh6Fd-pA=s88-c-k-c0x00ffffff-no-rj</v>
      </c>
      <c r="G606" s="67"/>
      <c r="H606" s="71" t="s">
        <v>3033</v>
      </c>
      <c r="I606" s="72"/>
      <c r="J606" s="72" t="s">
        <v>159</v>
      </c>
      <c r="K606" s="71" t="s">
        <v>3033</v>
      </c>
      <c r="L606" s="75">
        <v>1</v>
      </c>
      <c r="M606" s="76">
        <v>6207.05810546875</v>
      </c>
      <c r="N606" s="76">
        <v>3822.017578125</v>
      </c>
      <c r="O606" s="77"/>
      <c r="P606" s="78"/>
      <c r="Q606" s="78"/>
      <c r="R606" s="90"/>
      <c r="S606" s="49">
        <v>0</v>
      </c>
      <c r="T606" s="49">
        <v>1</v>
      </c>
      <c r="U606" s="50">
        <v>0</v>
      </c>
      <c r="V606" s="50">
        <v>0.20049</v>
      </c>
      <c r="W606" s="51"/>
      <c r="X606" s="51"/>
      <c r="Y606" s="51"/>
      <c r="Z606" s="50"/>
      <c r="AA606" s="73">
        <v>606</v>
      </c>
      <c r="AB606" s="73"/>
      <c r="AC606" s="74"/>
      <c r="AD606" s="81" t="s">
        <v>3033</v>
      </c>
      <c r="AE606" s="81"/>
      <c r="AF606" s="81"/>
      <c r="AG606" s="81"/>
      <c r="AH606" s="81"/>
      <c r="AI606" s="81" t="s">
        <v>2267</v>
      </c>
      <c r="AJ606" s="88">
        <v>41660.05981481481</v>
      </c>
      <c r="AK606" s="86" t="str">
        <f>HYPERLINK("https://yt3.ggpht.com/ytc/AIf8zZRb8F3yetP831SjuxDne2aphXVHttPh6Fd-pA=s88-c-k-c0x00ffffff-no-rj")</f>
        <v>https://yt3.ggpht.com/ytc/AIf8zZRb8F3yetP831SjuxDne2aphXVHttPh6Fd-pA=s88-c-k-c0x00ffffff-no-rj</v>
      </c>
      <c r="AL606" s="81">
        <v>165</v>
      </c>
      <c r="AM606" s="81">
        <v>0</v>
      </c>
      <c r="AN606" s="81">
        <v>1</v>
      </c>
      <c r="AO606" s="81" t="b">
        <v>0</v>
      </c>
      <c r="AP606" s="81">
        <v>123</v>
      </c>
      <c r="AQ606" s="81"/>
      <c r="AR606" s="81"/>
      <c r="AS606" s="81" t="s">
        <v>3378</v>
      </c>
      <c r="AT606" s="86" t="str">
        <f>HYPERLINK("https://www.youtube.com/channel/UCuHJai7fKxggMc6yiYWcSgg")</f>
        <v>https://www.youtube.com/channel/UCuHJai7fKxggMc6yiYWcSgg</v>
      </c>
      <c r="AU606" s="81" t="str">
        <f>REPLACE(INDEX(GroupVertices[Group],MATCH("~"&amp;Vertices[[#This Row],[Vertex]],GroupVertices[Vertex],0)),1,1,"")</f>
        <v>5</v>
      </c>
      <c r="AV606" s="49"/>
      <c r="AW606" s="49"/>
      <c r="AX606" s="49"/>
      <c r="AY606" s="49"/>
      <c r="AZ606" s="49"/>
      <c r="BA606" s="49"/>
      <c r="BB606" s="117" t="s">
        <v>4266</v>
      </c>
      <c r="BC606" s="117" t="s">
        <v>4266</v>
      </c>
      <c r="BD606" s="117" t="s">
        <v>4948</v>
      </c>
      <c r="BE606" s="117" t="s">
        <v>4948</v>
      </c>
      <c r="BF606" s="2"/>
      <c r="BG606" s="3"/>
      <c r="BH606" s="3"/>
      <c r="BI606" s="3"/>
      <c r="BJ606" s="3"/>
    </row>
    <row r="607" spans="1:62" ht="15">
      <c r="A607" s="66" t="s">
        <v>802</v>
      </c>
      <c r="B607" s="67"/>
      <c r="C607" s="67"/>
      <c r="D607" s="68">
        <v>50</v>
      </c>
      <c r="E607" s="70"/>
      <c r="F607" s="105" t="str">
        <f>HYPERLINK("https://yt3.ggpht.com/ytc/AIf8zZS3W0whlcVcPNPsEyRkwpuTKGbl1xZJI5dOYVi2=s88-c-k-c0x00ffffff-no-rj")</f>
        <v>https://yt3.ggpht.com/ytc/AIf8zZS3W0whlcVcPNPsEyRkwpuTKGbl1xZJI5dOYVi2=s88-c-k-c0x00ffffff-no-rj</v>
      </c>
      <c r="G607" s="67"/>
      <c r="H607" s="71" t="s">
        <v>3034</v>
      </c>
      <c r="I607" s="72"/>
      <c r="J607" s="72" t="s">
        <v>159</v>
      </c>
      <c r="K607" s="71" t="s">
        <v>3034</v>
      </c>
      <c r="L607" s="75">
        <v>1</v>
      </c>
      <c r="M607" s="76">
        <v>6634.43408203125</v>
      </c>
      <c r="N607" s="76">
        <v>601.601318359375</v>
      </c>
      <c r="O607" s="77"/>
      <c r="P607" s="78"/>
      <c r="Q607" s="78"/>
      <c r="R607" s="90"/>
      <c r="S607" s="49">
        <v>0</v>
      </c>
      <c r="T607" s="49">
        <v>1</v>
      </c>
      <c r="U607" s="50">
        <v>0</v>
      </c>
      <c r="V607" s="50">
        <v>0.20049</v>
      </c>
      <c r="W607" s="51"/>
      <c r="X607" s="51"/>
      <c r="Y607" s="51"/>
      <c r="Z607" s="50"/>
      <c r="AA607" s="73">
        <v>607</v>
      </c>
      <c r="AB607" s="73"/>
      <c r="AC607" s="74"/>
      <c r="AD607" s="81" t="s">
        <v>3034</v>
      </c>
      <c r="AE607" s="81" t="s">
        <v>3217</v>
      </c>
      <c r="AF607" s="81"/>
      <c r="AG607" s="81"/>
      <c r="AH607" s="81"/>
      <c r="AI607" s="81" t="s">
        <v>2268</v>
      </c>
      <c r="AJ607" s="88">
        <v>42661.725648148145</v>
      </c>
      <c r="AK607" s="86" t="str">
        <f>HYPERLINK("https://yt3.ggpht.com/ytc/AIf8zZS3W0whlcVcPNPsEyRkwpuTKGbl1xZJI5dOYVi2=s88-c-k-c0x00ffffff-no-rj")</f>
        <v>https://yt3.ggpht.com/ytc/AIf8zZS3W0whlcVcPNPsEyRkwpuTKGbl1xZJI5dOYVi2=s88-c-k-c0x00ffffff-no-rj</v>
      </c>
      <c r="AL607" s="81">
        <v>123362</v>
      </c>
      <c r="AM607" s="81">
        <v>0</v>
      </c>
      <c r="AN607" s="81">
        <v>204</v>
      </c>
      <c r="AO607" s="81" t="b">
        <v>0</v>
      </c>
      <c r="AP607" s="81">
        <v>86</v>
      </c>
      <c r="AQ607" s="81"/>
      <c r="AR607" s="81"/>
      <c r="AS607" s="81" t="s">
        <v>3378</v>
      </c>
      <c r="AT607" s="86" t="str">
        <f>HYPERLINK("https://www.youtube.com/channel/UCxDq5oYgSZ5lYZDIlfxgH7Q")</f>
        <v>https://www.youtube.com/channel/UCxDq5oYgSZ5lYZDIlfxgH7Q</v>
      </c>
      <c r="AU607" s="81" t="str">
        <f>REPLACE(INDEX(GroupVertices[Group],MATCH("~"&amp;Vertices[[#This Row],[Vertex]],GroupVertices[Vertex],0)),1,1,"")</f>
        <v>5</v>
      </c>
      <c r="AV607" s="49"/>
      <c r="AW607" s="49"/>
      <c r="AX607" s="49"/>
      <c r="AY607" s="49"/>
      <c r="AZ607" s="49"/>
      <c r="BA607" s="49"/>
      <c r="BB607" s="117" t="s">
        <v>4267</v>
      </c>
      <c r="BC607" s="117" t="s">
        <v>4267</v>
      </c>
      <c r="BD607" s="117" t="s">
        <v>4949</v>
      </c>
      <c r="BE607" s="117" t="s">
        <v>4949</v>
      </c>
      <c r="BF607" s="2"/>
      <c r="BG607" s="3"/>
      <c r="BH607" s="3"/>
      <c r="BI607" s="3"/>
      <c r="BJ607" s="3"/>
    </row>
    <row r="608" spans="1:62" ht="15">
      <c r="A608" s="66" t="s">
        <v>803</v>
      </c>
      <c r="B608" s="67"/>
      <c r="C608" s="67"/>
      <c r="D608" s="68">
        <v>50</v>
      </c>
      <c r="E608" s="70"/>
      <c r="F608" s="105" t="str">
        <f>HYPERLINK("https://yt3.ggpht.com/ytc/AIf8zZT0wzZs0o_bxe365UtjvvDBiVS3I-Q-AZDcxw=s88-c-k-c0x00ffffff-no-rj")</f>
        <v>https://yt3.ggpht.com/ytc/AIf8zZT0wzZs0o_bxe365UtjvvDBiVS3I-Q-AZDcxw=s88-c-k-c0x00ffffff-no-rj</v>
      </c>
      <c r="G608" s="67"/>
      <c r="H608" s="71" t="s">
        <v>3035</v>
      </c>
      <c r="I608" s="72"/>
      <c r="J608" s="72" t="s">
        <v>159</v>
      </c>
      <c r="K608" s="71" t="s">
        <v>3035</v>
      </c>
      <c r="L608" s="75">
        <v>1</v>
      </c>
      <c r="M608" s="76">
        <v>7064.9111328125</v>
      </c>
      <c r="N608" s="76">
        <v>1852.69873046875</v>
      </c>
      <c r="O608" s="77"/>
      <c r="P608" s="78"/>
      <c r="Q608" s="78"/>
      <c r="R608" s="90"/>
      <c r="S608" s="49">
        <v>0</v>
      </c>
      <c r="T608" s="49">
        <v>1</v>
      </c>
      <c r="U608" s="50">
        <v>0</v>
      </c>
      <c r="V608" s="50">
        <v>0.20049</v>
      </c>
      <c r="W608" s="51"/>
      <c r="X608" s="51"/>
      <c r="Y608" s="51"/>
      <c r="Z608" s="50"/>
      <c r="AA608" s="73">
        <v>608</v>
      </c>
      <c r="AB608" s="73"/>
      <c r="AC608" s="74"/>
      <c r="AD608" s="81" t="s">
        <v>3035</v>
      </c>
      <c r="AE608" s="81"/>
      <c r="AF608" s="81"/>
      <c r="AG608" s="81"/>
      <c r="AH608" s="81"/>
      <c r="AI608" s="81" t="s">
        <v>2269</v>
      </c>
      <c r="AJ608" s="88">
        <v>43930.77868055556</v>
      </c>
      <c r="AK608" s="86" t="str">
        <f>HYPERLINK("https://yt3.ggpht.com/ytc/AIf8zZT0wzZs0o_bxe365UtjvvDBiVS3I-Q-AZDcxw=s88-c-k-c0x00ffffff-no-rj")</f>
        <v>https://yt3.ggpht.com/ytc/AIf8zZT0wzZs0o_bxe365UtjvvDBiVS3I-Q-AZDcxw=s88-c-k-c0x00ffffff-no-rj</v>
      </c>
      <c r="AL608" s="81">
        <v>0</v>
      </c>
      <c r="AM608" s="81">
        <v>0</v>
      </c>
      <c r="AN608" s="81">
        <v>0</v>
      </c>
      <c r="AO608" s="81" t="b">
        <v>0</v>
      </c>
      <c r="AP608" s="81">
        <v>0</v>
      </c>
      <c r="AQ608" s="81"/>
      <c r="AR608" s="81"/>
      <c r="AS608" s="81" t="s">
        <v>3378</v>
      </c>
      <c r="AT608" s="86" t="str">
        <f>HYPERLINK("https://www.youtube.com/channel/UCzCEWI2FWjnjwjTzC7tPjOA")</f>
        <v>https://www.youtube.com/channel/UCzCEWI2FWjnjwjTzC7tPjOA</v>
      </c>
      <c r="AU608" s="81" t="str">
        <f>REPLACE(INDEX(GroupVertices[Group],MATCH("~"&amp;Vertices[[#This Row],[Vertex]],GroupVertices[Vertex],0)),1,1,"")</f>
        <v>5</v>
      </c>
      <c r="AV608" s="49" t="s">
        <v>3486</v>
      </c>
      <c r="AW608" s="49" t="s">
        <v>3486</v>
      </c>
      <c r="AX608" s="49" t="s">
        <v>2414</v>
      </c>
      <c r="AY608" s="49" t="s">
        <v>2414</v>
      </c>
      <c r="AZ608" s="49"/>
      <c r="BA608" s="49"/>
      <c r="BB608" s="117" t="s">
        <v>4268</v>
      </c>
      <c r="BC608" s="117" t="s">
        <v>4268</v>
      </c>
      <c r="BD608" s="117" t="s">
        <v>4950</v>
      </c>
      <c r="BE608" s="117" t="s">
        <v>4950</v>
      </c>
      <c r="BF608" s="2"/>
      <c r="BG608" s="3"/>
      <c r="BH608" s="3"/>
      <c r="BI608" s="3"/>
      <c r="BJ608" s="3"/>
    </row>
    <row r="609" spans="1:62" ht="15">
      <c r="A609" s="66" t="s">
        <v>805</v>
      </c>
      <c r="B609" s="67"/>
      <c r="C609" s="67"/>
      <c r="D609" s="68">
        <v>50</v>
      </c>
      <c r="E609" s="70"/>
      <c r="F609" s="105" t="str">
        <f>HYPERLINK("https://yt3.ggpht.com/zRXFjoWruvQFKHHsnS7prp_bWvmWqNQkVmU4eXvN_CPH4mu3-8LR10pR_cguT78YUp3bZC4V=s88-c-k-c0x00ffffff-no-rj")</f>
        <v>https://yt3.ggpht.com/zRXFjoWruvQFKHHsnS7prp_bWvmWqNQkVmU4eXvN_CPH4mu3-8LR10pR_cguT78YUp3bZC4V=s88-c-k-c0x00ffffff-no-rj</v>
      </c>
      <c r="G609" s="67"/>
      <c r="H609" s="71" t="s">
        <v>3037</v>
      </c>
      <c r="I609" s="72"/>
      <c r="J609" s="72" t="s">
        <v>159</v>
      </c>
      <c r="K609" s="71" t="s">
        <v>3037</v>
      </c>
      <c r="L609" s="75">
        <v>1</v>
      </c>
      <c r="M609" s="76">
        <v>6701.79052734375</v>
      </c>
      <c r="N609" s="76">
        <v>3064.654296875</v>
      </c>
      <c r="O609" s="77"/>
      <c r="P609" s="78"/>
      <c r="Q609" s="78"/>
      <c r="R609" s="90"/>
      <c r="S609" s="49">
        <v>0</v>
      </c>
      <c r="T609" s="49">
        <v>1</v>
      </c>
      <c r="U609" s="50">
        <v>0</v>
      </c>
      <c r="V609" s="50">
        <v>0.20049</v>
      </c>
      <c r="W609" s="51"/>
      <c r="X609" s="51"/>
      <c r="Y609" s="51"/>
      <c r="Z609" s="50"/>
      <c r="AA609" s="73">
        <v>609</v>
      </c>
      <c r="AB609" s="73"/>
      <c r="AC609" s="74"/>
      <c r="AD609" s="81" t="s">
        <v>3037</v>
      </c>
      <c r="AE609" s="81"/>
      <c r="AF609" s="81"/>
      <c r="AG609" s="81"/>
      <c r="AH609" s="81"/>
      <c r="AI609" s="81" t="s">
        <v>2271</v>
      </c>
      <c r="AJ609" s="88">
        <v>41350.07079861111</v>
      </c>
      <c r="AK609" s="86" t="str">
        <f>HYPERLINK("https://yt3.ggpht.com/zRXFjoWruvQFKHHsnS7prp_bWvmWqNQkVmU4eXvN_CPH4mu3-8LR10pR_cguT78YUp3bZC4V=s88-c-k-c0x00ffffff-no-rj")</f>
        <v>https://yt3.ggpht.com/zRXFjoWruvQFKHHsnS7prp_bWvmWqNQkVmU4eXvN_CPH4mu3-8LR10pR_cguT78YUp3bZC4V=s88-c-k-c0x00ffffff-no-rj</v>
      </c>
      <c r="AL609" s="81">
        <v>0</v>
      </c>
      <c r="AM609" s="81">
        <v>0</v>
      </c>
      <c r="AN609" s="81">
        <v>2</v>
      </c>
      <c r="AO609" s="81" t="b">
        <v>0</v>
      </c>
      <c r="AP609" s="81">
        <v>0</v>
      </c>
      <c r="AQ609" s="81"/>
      <c r="AR609" s="81"/>
      <c r="AS609" s="81" t="s">
        <v>3378</v>
      </c>
      <c r="AT609" s="86" t="str">
        <f>HYPERLINK("https://www.youtube.com/channel/UCSmwQnw6cuW8Yo8keYBq1OA")</f>
        <v>https://www.youtube.com/channel/UCSmwQnw6cuW8Yo8keYBq1OA</v>
      </c>
      <c r="AU609" s="81" t="str">
        <f>REPLACE(INDEX(GroupVertices[Group],MATCH("~"&amp;Vertices[[#This Row],[Vertex]],GroupVertices[Vertex],0)),1,1,"")</f>
        <v>5</v>
      </c>
      <c r="AV609" s="49"/>
      <c r="AW609" s="49"/>
      <c r="AX609" s="49"/>
      <c r="AY609" s="49"/>
      <c r="AZ609" s="49"/>
      <c r="BA609" s="49"/>
      <c r="BB609" s="117" t="s">
        <v>2423</v>
      </c>
      <c r="BC609" s="117" t="s">
        <v>2423</v>
      </c>
      <c r="BD609" s="117" t="s">
        <v>2423</v>
      </c>
      <c r="BE609" s="117" t="s">
        <v>2423</v>
      </c>
      <c r="BF609" s="2"/>
      <c r="BG609" s="3"/>
      <c r="BH609" s="3"/>
      <c r="BI609" s="3"/>
      <c r="BJ609" s="3"/>
    </row>
    <row r="610" spans="1:62" ht="15">
      <c r="A610" s="66" t="s">
        <v>806</v>
      </c>
      <c r="B610" s="67"/>
      <c r="C610" s="67"/>
      <c r="D610" s="68">
        <v>50</v>
      </c>
      <c r="E610" s="70"/>
      <c r="F610" s="105" t="str">
        <f>HYPERLINK("https://yt3.ggpht.com/ytc/AIf8zZSRY8f_GHXy914ipcPcxXoV5FcwjVsiYT2nXg=s88-c-k-c0x00ffffff-no-rj")</f>
        <v>https://yt3.ggpht.com/ytc/AIf8zZSRY8f_GHXy914ipcPcxXoV5FcwjVsiYT2nXg=s88-c-k-c0x00ffffff-no-rj</v>
      </c>
      <c r="G610" s="67"/>
      <c r="H610" s="71" t="s">
        <v>3038</v>
      </c>
      <c r="I610" s="72"/>
      <c r="J610" s="72" t="s">
        <v>159</v>
      </c>
      <c r="K610" s="71" t="s">
        <v>3038</v>
      </c>
      <c r="L610" s="75">
        <v>1</v>
      </c>
      <c r="M610" s="76">
        <v>7896.076171875</v>
      </c>
      <c r="N610" s="76">
        <v>2204.450439453125</v>
      </c>
      <c r="O610" s="77"/>
      <c r="P610" s="78"/>
      <c r="Q610" s="78"/>
      <c r="R610" s="90"/>
      <c r="S610" s="49">
        <v>0</v>
      </c>
      <c r="T610" s="49">
        <v>1</v>
      </c>
      <c r="U610" s="50">
        <v>0</v>
      </c>
      <c r="V610" s="50">
        <v>0.20049</v>
      </c>
      <c r="W610" s="51"/>
      <c r="X610" s="51"/>
      <c r="Y610" s="51"/>
      <c r="Z610" s="50"/>
      <c r="AA610" s="73">
        <v>610</v>
      </c>
      <c r="AB610" s="73"/>
      <c r="AC610" s="74"/>
      <c r="AD610" s="81" t="s">
        <v>3038</v>
      </c>
      <c r="AE610" s="81"/>
      <c r="AF610" s="81"/>
      <c r="AG610" s="81"/>
      <c r="AH610" s="81"/>
      <c r="AI610" s="81" t="s">
        <v>2272</v>
      </c>
      <c r="AJ610" s="88">
        <v>43994.668761574074</v>
      </c>
      <c r="AK610" s="86" t="str">
        <f>HYPERLINK("https://yt3.ggpht.com/ytc/AIf8zZSRY8f_GHXy914ipcPcxXoV5FcwjVsiYT2nXg=s88-c-k-c0x00ffffff-no-rj")</f>
        <v>https://yt3.ggpht.com/ytc/AIf8zZSRY8f_GHXy914ipcPcxXoV5FcwjVsiYT2nXg=s88-c-k-c0x00ffffff-no-rj</v>
      </c>
      <c r="AL610" s="81">
        <v>0</v>
      </c>
      <c r="AM610" s="81">
        <v>0</v>
      </c>
      <c r="AN610" s="81">
        <v>0</v>
      </c>
      <c r="AO610" s="81" t="b">
        <v>0</v>
      </c>
      <c r="AP610" s="81">
        <v>0</v>
      </c>
      <c r="AQ610" s="81"/>
      <c r="AR610" s="81"/>
      <c r="AS610" s="81" t="s">
        <v>3378</v>
      </c>
      <c r="AT610" s="86" t="str">
        <f>HYPERLINK("https://www.youtube.com/channel/UCbDONk2KZUWxtm6ufQfJltA")</f>
        <v>https://www.youtube.com/channel/UCbDONk2KZUWxtm6ufQfJltA</v>
      </c>
      <c r="AU610" s="81" t="str">
        <f>REPLACE(INDEX(GroupVertices[Group],MATCH("~"&amp;Vertices[[#This Row],[Vertex]],GroupVertices[Vertex],0)),1,1,"")</f>
        <v>5</v>
      </c>
      <c r="AV610" s="49"/>
      <c r="AW610" s="49"/>
      <c r="AX610" s="49"/>
      <c r="AY610" s="49"/>
      <c r="AZ610" s="49"/>
      <c r="BA610" s="49"/>
      <c r="BB610" s="117" t="s">
        <v>2423</v>
      </c>
      <c r="BC610" s="117" t="s">
        <v>2423</v>
      </c>
      <c r="BD610" s="117" t="s">
        <v>2423</v>
      </c>
      <c r="BE610" s="117" t="s">
        <v>2423</v>
      </c>
      <c r="BF610" s="2"/>
      <c r="BG610" s="3"/>
      <c r="BH610" s="3"/>
      <c r="BI610" s="3"/>
      <c r="BJ610" s="3"/>
    </row>
    <row r="611" spans="1:62" ht="15">
      <c r="A611" s="66" t="s">
        <v>807</v>
      </c>
      <c r="B611" s="67"/>
      <c r="C611" s="67"/>
      <c r="D611" s="68">
        <v>50</v>
      </c>
      <c r="E611" s="70"/>
      <c r="F611" s="105" t="str">
        <f>HYPERLINK("https://yt3.ggpht.com/ytc/AIf8zZQPARGD2kMCRaSkJ0imRmSfJjBmwcaPU_rfjlDSJQ=s88-c-k-c0x00ffffff-no-rj")</f>
        <v>https://yt3.ggpht.com/ytc/AIf8zZQPARGD2kMCRaSkJ0imRmSfJjBmwcaPU_rfjlDSJQ=s88-c-k-c0x00ffffff-no-rj</v>
      </c>
      <c r="G611" s="67"/>
      <c r="H611" s="71" t="s">
        <v>3039</v>
      </c>
      <c r="I611" s="72"/>
      <c r="J611" s="72" t="s">
        <v>159</v>
      </c>
      <c r="K611" s="71" t="s">
        <v>3039</v>
      </c>
      <c r="L611" s="75">
        <v>1</v>
      </c>
      <c r="M611" s="76">
        <v>1397.8477783203125</v>
      </c>
      <c r="N611" s="76">
        <v>3804.081298828125</v>
      </c>
      <c r="O611" s="77"/>
      <c r="P611" s="78"/>
      <c r="Q611" s="78"/>
      <c r="R611" s="90"/>
      <c r="S611" s="49">
        <v>0</v>
      </c>
      <c r="T611" s="49">
        <v>1</v>
      </c>
      <c r="U611" s="50">
        <v>0</v>
      </c>
      <c r="V611" s="50">
        <v>0.231785</v>
      </c>
      <c r="W611" s="51"/>
      <c r="X611" s="51"/>
      <c r="Y611" s="51"/>
      <c r="Z611" s="50"/>
      <c r="AA611" s="73">
        <v>611</v>
      </c>
      <c r="AB611" s="73"/>
      <c r="AC611" s="74"/>
      <c r="AD611" s="81" t="s">
        <v>3039</v>
      </c>
      <c r="AE611" s="81"/>
      <c r="AF611" s="81"/>
      <c r="AG611" s="81"/>
      <c r="AH611" s="81"/>
      <c r="AI611" s="81" t="s">
        <v>2273</v>
      </c>
      <c r="AJ611" s="88">
        <v>43792.925844907404</v>
      </c>
      <c r="AK611" s="86" t="str">
        <f>HYPERLINK("https://yt3.ggpht.com/ytc/AIf8zZQPARGD2kMCRaSkJ0imRmSfJjBmwcaPU_rfjlDSJQ=s88-c-k-c0x00ffffff-no-rj")</f>
        <v>https://yt3.ggpht.com/ytc/AIf8zZQPARGD2kMCRaSkJ0imRmSfJjBmwcaPU_rfjlDSJQ=s88-c-k-c0x00ffffff-no-rj</v>
      </c>
      <c r="AL611" s="81">
        <v>0</v>
      </c>
      <c r="AM611" s="81">
        <v>0</v>
      </c>
      <c r="AN611" s="81">
        <v>2</v>
      </c>
      <c r="AO611" s="81" t="b">
        <v>0</v>
      </c>
      <c r="AP611" s="81">
        <v>0</v>
      </c>
      <c r="AQ611" s="81"/>
      <c r="AR611" s="81"/>
      <c r="AS611" s="81" t="s">
        <v>3378</v>
      </c>
      <c r="AT611" s="86" t="str">
        <f>HYPERLINK("https://www.youtube.com/channel/UCuuU-qRdyG7Gjw9xk_bhE8A")</f>
        <v>https://www.youtube.com/channel/UCuuU-qRdyG7Gjw9xk_bhE8A</v>
      </c>
      <c r="AU611" s="81" t="str">
        <f>REPLACE(INDEX(GroupVertices[Group],MATCH("~"&amp;Vertices[[#This Row],[Vertex]],GroupVertices[Vertex],0)),1,1,"")</f>
        <v>1</v>
      </c>
      <c r="AV611" s="49"/>
      <c r="AW611" s="49"/>
      <c r="AX611" s="49"/>
      <c r="AY611" s="49"/>
      <c r="AZ611" s="49"/>
      <c r="BA611" s="49"/>
      <c r="BB611" s="117" t="s">
        <v>4270</v>
      </c>
      <c r="BC611" s="117" t="s">
        <v>4270</v>
      </c>
      <c r="BD611" s="117" t="s">
        <v>4952</v>
      </c>
      <c r="BE611" s="117" t="s">
        <v>4952</v>
      </c>
      <c r="BF611" s="2"/>
      <c r="BG611" s="3"/>
      <c r="BH611" s="3"/>
      <c r="BI611" s="3"/>
      <c r="BJ611" s="3"/>
    </row>
    <row r="612" spans="1:62" ht="15">
      <c r="A612" s="66" t="s">
        <v>808</v>
      </c>
      <c r="B612" s="67"/>
      <c r="C612" s="67"/>
      <c r="D612" s="68">
        <v>50</v>
      </c>
      <c r="E612" s="70"/>
      <c r="F612" s="105" t="str">
        <f>HYPERLINK("https://yt3.ggpht.com/ytc/AIf8zZSXR3l52vLYy69Y3T7L55rIJQ6SCvWA0f6qUyyS=s88-c-k-c0x00ffffff-no-rj")</f>
        <v>https://yt3.ggpht.com/ytc/AIf8zZSXR3l52vLYy69Y3T7L55rIJQ6SCvWA0f6qUyyS=s88-c-k-c0x00ffffff-no-rj</v>
      </c>
      <c r="G612" s="67"/>
      <c r="H612" s="71" t="s">
        <v>3040</v>
      </c>
      <c r="I612" s="72"/>
      <c r="J612" s="72" t="s">
        <v>159</v>
      </c>
      <c r="K612" s="71" t="s">
        <v>3040</v>
      </c>
      <c r="L612" s="75">
        <v>1</v>
      </c>
      <c r="M612" s="76">
        <v>1708.89208984375</v>
      </c>
      <c r="N612" s="76">
        <v>6784.05908203125</v>
      </c>
      <c r="O612" s="77"/>
      <c r="P612" s="78"/>
      <c r="Q612" s="78"/>
      <c r="R612" s="90"/>
      <c r="S612" s="49">
        <v>0</v>
      </c>
      <c r="T612" s="49">
        <v>1</v>
      </c>
      <c r="U612" s="50">
        <v>0</v>
      </c>
      <c r="V612" s="50">
        <v>0.231785</v>
      </c>
      <c r="W612" s="51"/>
      <c r="X612" s="51"/>
      <c r="Y612" s="51"/>
      <c r="Z612" s="50"/>
      <c r="AA612" s="73">
        <v>612</v>
      </c>
      <c r="AB612" s="73"/>
      <c r="AC612" s="74"/>
      <c r="AD612" s="81" t="s">
        <v>3040</v>
      </c>
      <c r="AE612" s="81"/>
      <c r="AF612" s="81"/>
      <c r="AG612" s="81"/>
      <c r="AH612" s="81"/>
      <c r="AI612" s="81" t="s">
        <v>2274</v>
      </c>
      <c r="AJ612" s="88">
        <v>39219.89266203704</v>
      </c>
      <c r="AK612" s="86" t="str">
        <f>HYPERLINK("https://yt3.ggpht.com/ytc/AIf8zZSXR3l52vLYy69Y3T7L55rIJQ6SCvWA0f6qUyyS=s88-c-k-c0x00ffffff-no-rj")</f>
        <v>https://yt3.ggpht.com/ytc/AIf8zZSXR3l52vLYy69Y3T7L55rIJQ6SCvWA0f6qUyyS=s88-c-k-c0x00ffffff-no-rj</v>
      </c>
      <c r="AL612" s="81">
        <v>302</v>
      </c>
      <c r="AM612" s="81">
        <v>0</v>
      </c>
      <c r="AN612" s="81">
        <v>0</v>
      </c>
      <c r="AO612" s="81" t="b">
        <v>0</v>
      </c>
      <c r="AP612" s="81">
        <v>8</v>
      </c>
      <c r="AQ612" s="81"/>
      <c r="AR612" s="81"/>
      <c r="AS612" s="81" t="s">
        <v>3378</v>
      </c>
      <c r="AT612" s="86" t="str">
        <f>HYPERLINK("https://www.youtube.com/channel/UCjJ8ME_6E1jiK184MBdjXBQ")</f>
        <v>https://www.youtube.com/channel/UCjJ8ME_6E1jiK184MBdjXBQ</v>
      </c>
      <c r="AU612" s="81" t="str">
        <f>REPLACE(INDEX(GroupVertices[Group],MATCH("~"&amp;Vertices[[#This Row],[Vertex]],GroupVertices[Vertex],0)),1,1,"")</f>
        <v>1</v>
      </c>
      <c r="AV612" s="49"/>
      <c r="AW612" s="49"/>
      <c r="AX612" s="49"/>
      <c r="AY612" s="49"/>
      <c r="AZ612" s="49"/>
      <c r="BA612" s="49"/>
      <c r="BB612" s="117" t="s">
        <v>4271</v>
      </c>
      <c r="BC612" s="117" t="s">
        <v>4271</v>
      </c>
      <c r="BD612" s="117" t="s">
        <v>4953</v>
      </c>
      <c r="BE612" s="117" t="s">
        <v>4953</v>
      </c>
      <c r="BF612" s="2"/>
      <c r="BG612" s="3"/>
      <c r="BH612" s="3"/>
      <c r="BI612" s="3"/>
      <c r="BJ612" s="3"/>
    </row>
    <row r="613" spans="1:62" ht="15">
      <c r="A613" s="66" t="s">
        <v>809</v>
      </c>
      <c r="B613" s="67"/>
      <c r="C613" s="67"/>
      <c r="D613" s="68">
        <v>50</v>
      </c>
      <c r="E613" s="70"/>
      <c r="F613" s="105" t="str">
        <f>HYPERLINK("https://yt3.ggpht.com/ytc/AIf8zZQi0QOMcOIxjfnscFMNrQEF8EcI3py2-DNtmw=s88-c-k-c0x00ffffff-no-rj")</f>
        <v>https://yt3.ggpht.com/ytc/AIf8zZQi0QOMcOIxjfnscFMNrQEF8EcI3py2-DNtmw=s88-c-k-c0x00ffffff-no-rj</v>
      </c>
      <c r="G613" s="67"/>
      <c r="H613" s="71" t="s">
        <v>3041</v>
      </c>
      <c r="I613" s="72"/>
      <c r="J613" s="72" t="s">
        <v>159</v>
      </c>
      <c r="K613" s="71" t="s">
        <v>3041</v>
      </c>
      <c r="L613" s="75">
        <v>1</v>
      </c>
      <c r="M613" s="76">
        <v>121.10863494873047</v>
      </c>
      <c r="N613" s="76">
        <v>6060.61572265625</v>
      </c>
      <c r="O613" s="77"/>
      <c r="P613" s="78"/>
      <c r="Q613" s="78"/>
      <c r="R613" s="90"/>
      <c r="S613" s="49">
        <v>0</v>
      </c>
      <c r="T613" s="49">
        <v>1</v>
      </c>
      <c r="U613" s="50">
        <v>0</v>
      </c>
      <c r="V613" s="50">
        <v>0.231785</v>
      </c>
      <c r="W613" s="51"/>
      <c r="X613" s="51"/>
      <c r="Y613" s="51"/>
      <c r="Z613" s="50"/>
      <c r="AA613" s="73">
        <v>613</v>
      </c>
      <c r="AB613" s="73"/>
      <c r="AC613" s="74"/>
      <c r="AD613" s="81" t="s">
        <v>3041</v>
      </c>
      <c r="AE613" s="81"/>
      <c r="AF613" s="81"/>
      <c r="AG613" s="81"/>
      <c r="AH613" s="81"/>
      <c r="AI613" s="81" t="s">
        <v>2275</v>
      </c>
      <c r="AJ613" s="88">
        <v>41015.540625</v>
      </c>
      <c r="AK613" s="86" t="str">
        <f>HYPERLINK("https://yt3.ggpht.com/ytc/AIf8zZQi0QOMcOIxjfnscFMNrQEF8EcI3py2-DNtmw=s88-c-k-c0x00ffffff-no-rj")</f>
        <v>https://yt3.ggpht.com/ytc/AIf8zZQi0QOMcOIxjfnscFMNrQEF8EcI3py2-DNtmw=s88-c-k-c0x00ffffff-no-rj</v>
      </c>
      <c r="AL613" s="81">
        <v>8</v>
      </c>
      <c r="AM613" s="81">
        <v>0</v>
      </c>
      <c r="AN613" s="81">
        <v>0</v>
      </c>
      <c r="AO613" s="81" t="b">
        <v>0</v>
      </c>
      <c r="AP613" s="81">
        <v>1</v>
      </c>
      <c r="AQ613" s="81"/>
      <c r="AR613" s="81"/>
      <c r="AS613" s="81" t="s">
        <v>3378</v>
      </c>
      <c r="AT613" s="86" t="str">
        <f>HYPERLINK("https://www.youtube.com/channel/UCgCWX0zfngoPwIYqW9cVJWg")</f>
        <v>https://www.youtube.com/channel/UCgCWX0zfngoPwIYqW9cVJWg</v>
      </c>
      <c r="AU613" s="81" t="str">
        <f>REPLACE(INDEX(GroupVertices[Group],MATCH("~"&amp;Vertices[[#This Row],[Vertex]],GroupVertices[Vertex],0)),1,1,"")</f>
        <v>1</v>
      </c>
      <c r="AV613" s="49"/>
      <c r="AW613" s="49"/>
      <c r="AX613" s="49"/>
      <c r="AY613" s="49"/>
      <c r="AZ613" s="49"/>
      <c r="BA613" s="49"/>
      <c r="BB613" s="117" t="s">
        <v>4272</v>
      </c>
      <c r="BC613" s="117" t="s">
        <v>4272</v>
      </c>
      <c r="BD613" s="117" t="s">
        <v>4954</v>
      </c>
      <c r="BE613" s="117" t="s">
        <v>4954</v>
      </c>
      <c r="BF613" s="2"/>
      <c r="BG613" s="3"/>
      <c r="BH613" s="3"/>
      <c r="BI613" s="3"/>
      <c r="BJ613" s="3"/>
    </row>
    <row r="614" spans="1:62" ht="15">
      <c r="A614" s="66" t="s">
        <v>810</v>
      </c>
      <c r="B614" s="67"/>
      <c r="C614" s="67"/>
      <c r="D614" s="68">
        <v>50</v>
      </c>
      <c r="E614" s="70"/>
      <c r="F614" s="105" t="str">
        <f>HYPERLINK("https://yt3.ggpht.com/ytc/AIf8zZQGc9I_oRCyRfnG2j6Dt6-lHJ90rsUhjpJQ36t0iw=s88-c-k-c0x00ffffff-no-rj")</f>
        <v>https://yt3.ggpht.com/ytc/AIf8zZQGc9I_oRCyRfnG2j6Dt6-lHJ90rsUhjpJQ36t0iw=s88-c-k-c0x00ffffff-no-rj</v>
      </c>
      <c r="G614" s="67"/>
      <c r="H614" s="71" t="s">
        <v>3042</v>
      </c>
      <c r="I614" s="72"/>
      <c r="J614" s="72" t="s">
        <v>159</v>
      </c>
      <c r="K614" s="71" t="s">
        <v>3042</v>
      </c>
      <c r="L614" s="75">
        <v>1</v>
      </c>
      <c r="M614" s="76">
        <v>2179.555908203125</v>
      </c>
      <c r="N614" s="76">
        <v>3762.146728515625</v>
      </c>
      <c r="O614" s="77"/>
      <c r="P614" s="78"/>
      <c r="Q614" s="78"/>
      <c r="R614" s="90"/>
      <c r="S614" s="49">
        <v>0</v>
      </c>
      <c r="T614" s="49">
        <v>1</v>
      </c>
      <c r="U614" s="50">
        <v>0</v>
      </c>
      <c r="V614" s="50">
        <v>0.231785</v>
      </c>
      <c r="W614" s="51"/>
      <c r="X614" s="51"/>
      <c r="Y614" s="51"/>
      <c r="Z614" s="50"/>
      <c r="AA614" s="73">
        <v>614</v>
      </c>
      <c r="AB614" s="73"/>
      <c r="AC614" s="74"/>
      <c r="AD614" s="81" t="s">
        <v>3042</v>
      </c>
      <c r="AE614" s="81"/>
      <c r="AF614" s="81"/>
      <c r="AG614" s="81"/>
      <c r="AH614" s="81"/>
      <c r="AI614" s="81" t="s">
        <v>2276</v>
      </c>
      <c r="AJ614" s="88">
        <v>40439.09171296296</v>
      </c>
      <c r="AK614" s="86" t="str">
        <f>HYPERLINK("https://yt3.ggpht.com/ytc/AIf8zZQGc9I_oRCyRfnG2j6Dt6-lHJ90rsUhjpJQ36t0iw=s88-c-k-c0x00ffffff-no-rj")</f>
        <v>https://yt3.ggpht.com/ytc/AIf8zZQGc9I_oRCyRfnG2j6Dt6-lHJ90rsUhjpJQ36t0iw=s88-c-k-c0x00ffffff-no-rj</v>
      </c>
      <c r="AL614" s="81">
        <v>2203</v>
      </c>
      <c r="AM614" s="81">
        <v>0</v>
      </c>
      <c r="AN614" s="81">
        <v>3</v>
      </c>
      <c r="AO614" s="81" t="b">
        <v>0</v>
      </c>
      <c r="AP614" s="81">
        <v>15</v>
      </c>
      <c r="AQ614" s="81"/>
      <c r="AR614" s="81"/>
      <c r="AS614" s="81" t="s">
        <v>3378</v>
      </c>
      <c r="AT614" s="86" t="str">
        <f>HYPERLINK("https://www.youtube.com/channel/UCrkgxJFRkPcQHvAOD6g8nFA")</f>
        <v>https://www.youtube.com/channel/UCrkgxJFRkPcQHvAOD6g8nFA</v>
      </c>
      <c r="AU614" s="81" t="str">
        <f>REPLACE(INDEX(GroupVertices[Group],MATCH("~"&amp;Vertices[[#This Row],[Vertex]],GroupVertices[Vertex],0)),1,1,"")</f>
        <v>1</v>
      </c>
      <c r="AV614" s="49"/>
      <c r="AW614" s="49"/>
      <c r="AX614" s="49"/>
      <c r="AY614" s="49"/>
      <c r="AZ614" s="49"/>
      <c r="BA614" s="49"/>
      <c r="BB614" s="117" t="s">
        <v>4273</v>
      </c>
      <c r="BC614" s="117" t="s">
        <v>4273</v>
      </c>
      <c r="BD614" s="117" t="s">
        <v>4955</v>
      </c>
      <c r="BE614" s="117" t="s">
        <v>4955</v>
      </c>
      <c r="BF614" s="2"/>
      <c r="BG614" s="3"/>
      <c r="BH614" s="3"/>
      <c r="BI614" s="3"/>
      <c r="BJ614" s="3"/>
    </row>
    <row r="615" spans="1:62" ht="15">
      <c r="A615" s="66" t="s">
        <v>811</v>
      </c>
      <c r="B615" s="67"/>
      <c r="C615" s="67"/>
      <c r="D615" s="68">
        <v>50</v>
      </c>
      <c r="E615" s="70"/>
      <c r="F615" s="105" t="str">
        <f>HYPERLINK("https://yt3.ggpht.com/ytc/AIf8zZRj0dK-7jW1y1vxBepZnNINS6dPiuAZmpzxgQ=s88-c-k-c0x00ffffff-no-rj")</f>
        <v>https://yt3.ggpht.com/ytc/AIf8zZRj0dK-7jW1y1vxBepZnNINS6dPiuAZmpzxgQ=s88-c-k-c0x00ffffff-no-rj</v>
      </c>
      <c r="G615" s="67"/>
      <c r="H615" s="71" t="s">
        <v>3043</v>
      </c>
      <c r="I615" s="72"/>
      <c r="J615" s="72" t="s">
        <v>159</v>
      </c>
      <c r="K615" s="71" t="s">
        <v>3043</v>
      </c>
      <c r="L615" s="75">
        <v>1</v>
      </c>
      <c r="M615" s="76">
        <v>3717.505615234375</v>
      </c>
      <c r="N615" s="76">
        <v>7355.77294921875</v>
      </c>
      <c r="O615" s="77"/>
      <c r="P615" s="78"/>
      <c r="Q615" s="78"/>
      <c r="R615" s="90"/>
      <c r="S615" s="49">
        <v>0</v>
      </c>
      <c r="T615" s="49">
        <v>1</v>
      </c>
      <c r="U615" s="50">
        <v>0</v>
      </c>
      <c r="V615" s="50">
        <v>0.231785</v>
      </c>
      <c r="W615" s="51"/>
      <c r="X615" s="51"/>
      <c r="Y615" s="51"/>
      <c r="Z615" s="50"/>
      <c r="AA615" s="73">
        <v>615</v>
      </c>
      <c r="AB615" s="73"/>
      <c r="AC615" s="74"/>
      <c r="AD615" s="81" t="s">
        <v>3043</v>
      </c>
      <c r="AE615" s="81"/>
      <c r="AF615" s="81"/>
      <c r="AG615" s="81"/>
      <c r="AH615" s="81"/>
      <c r="AI615" s="81" t="s">
        <v>3362</v>
      </c>
      <c r="AJ615" s="88">
        <v>40985.33629629629</v>
      </c>
      <c r="AK615" s="86" t="str">
        <f>HYPERLINK("https://yt3.ggpht.com/ytc/AIf8zZRj0dK-7jW1y1vxBepZnNINS6dPiuAZmpzxgQ=s88-c-k-c0x00ffffff-no-rj")</f>
        <v>https://yt3.ggpht.com/ytc/AIf8zZRj0dK-7jW1y1vxBepZnNINS6dPiuAZmpzxgQ=s88-c-k-c0x00ffffff-no-rj</v>
      </c>
      <c r="AL615" s="81">
        <v>15</v>
      </c>
      <c r="AM615" s="81">
        <v>0</v>
      </c>
      <c r="AN615" s="81">
        <v>0</v>
      </c>
      <c r="AO615" s="81" t="b">
        <v>0</v>
      </c>
      <c r="AP615" s="81">
        <v>1</v>
      </c>
      <c r="AQ615" s="81"/>
      <c r="AR615" s="81"/>
      <c r="AS615" s="81" t="s">
        <v>3378</v>
      </c>
      <c r="AT615" s="86" t="str">
        <f>HYPERLINK("https://www.youtube.com/channel/UCFwMyEq4xIE3NWGitBgRbew")</f>
        <v>https://www.youtube.com/channel/UCFwMyEq4xIE3NWGitBgRbew</v>
      </c>
      <c r="AU615" s="81" t="str">
        <f>REPLACE(INDEX(GroupVertices[Group],MATCH("~"&amp;Vertices[[#This Row],[Vertex]],GroupVertices[Vertex],0)),1,1,"")</f>
        <v>1</v>
      </c>
      <c r="AV615" s="49"/>
      <c r="AW615" s="49"/>
      <c r="AX615" s="49"/>
      <c r="AY615" s="49"/>
      <c r="AZ615" s="49"/>
      <c r="BA615" s="49"/>
      <c r="BB615" s="117" t="s">
        <v>4274</v>
      </c>
      <c r="BC615" s="117" t="s">
        <v>4274</v>
      </c>
      <c r="BD615" s="117" t="s">
        <v>4956</v>
      </c>
      <c r="BE615" s="117" t="s">
        <v>4956</v>
      </c>
      <c r="BF615" s="2"/>
      <c r="BG615" s="3"/>
      <c r="BH615" s="3"/>
      <c r="BI615" s="3"/>
      <c r="BJ615" s="3"/>
    </row>
    <row r="616" spans="1:62" ht="15">
      <c r="A616" s="66" t="s">
        <v>812</v>
      </c>
      <c r="B616" s="67"/>
      <c r="C616" s="67"/>
      <c r="D616" s="68">
        <v>50</v>
      </c>
      <c r="E616" s="70"/>
      <c r="F616" s="105" t="str">
        <f>HYPERLINK("https://yt3.ggpht.com/ytc/AIf8zZQuN13pEGMxb_YqqQn--Zbx5ZQ27MFwCpgyuA=s88-c-k-c0x00ffffff-no-rj")</f>
        <v>https://yt3.ggpht.com/ytc/AIf8zZQuN13pEGMxb_YqqQn--Zbx5ZQ27MFwCpgyuA=s88-c-k-c0x00ffffff-no-rj</v>
      </c>
      <c r="G616" s="67"/>
      <c r="H616" s="71" t="s">
        <v>3044</v>
      </c>
      <c r="I616" s="72"/>
      <c r="J616" s="72" t="s">
        <v>159</v>
      </c>
      <c r="K616" s="71" t="s">
        <v>3044</v>
      </c>
      <c r="L616" s="75">
        <v>1</v>
      </c>
      <c r="M616" s="76">
        <v>2342.267822265625</v>
      </c>
      <c r="N616" s="76">
        <v>8843.5986328125</v>
      </c>
      <c r="O616" s="77"/>
      <c r="P616" s="78"/>
      <c r="Q616" s="78"/>
      <c r="R616" s="90"/>
      <c r="S616" s="49">
        <v>0</v>
      </c>
      <c r="T616" s="49">
        <v>1</v>
      </c>
      <c r="U616" s="50">
        <v>0</v>
      </c>
      <c r="V616" s="50">
        <v>0.231785</v>
      </c>
      <c r="W616" s="51"/>
      <c r="X616" s="51"/>
      <c r="Y616" s="51"/>
      <c r="Z616" s="50"/>
      <c r="AA616" s="73">
        <v>616</v>
      </c>
      <c r="AB616" s="73"/>
      <c r="AC616" s="74"/>
      <c r="AD616" s="81" t="s">
        <v>3044</v>
      </c>
      <c r="AE616" s="81"/>
      <c r="AF616" s="81"/>
      <c r="AG616" s="81"/>
      <c r="AH616" s="81"/>
      <c r="AI616" s="81" t="s">
        <v>2278</v>
      </c>
      <c r="AJ616" s="88">
        <v>44170.697650462964</v>
      </c>
      <c r="AK616" s="86" t="str">
        <f>HYPERLINK("https://yt3.ggpht.com/ytc/AIf8zZQuN13pEGMxb_YqqQn--Zbx5ZQ27MFwCpgyuA=s88-c-k-c0x00ffffff-no-rj")</f>
        <v>https://yt3.ggpht.com/ytc/AIf8zZQuN13pEGMxb_YqqQn--Zbx5ZQ27MFwCpgyuA=s88-c-k-c0x00ffffff-no-rj</v>
      </c>
      <c r="AL616" s="81">
        <v>0</v>
      </c>
      <c r="AM616" s="81">
        <v>0</v>
      </c>
      <c r="AN616" s="81">
        <v>0</v>
      </c>
      <c r="AO616" s="81" t="b">
        <v>0</v>
      </c>
      <c r="AP616" s="81">
        <v>0</v>
      </c>
      <c r="AQ616" s="81"/>
      <c r="AR616" s="81"/>
      <c r="AS616" s="81" t="s">
        <v>3378</v>
      </c>
      <c r="AT616" s="86" t="str">
        <f>HYPERLINK("https://www.youtube.com/channel/UCqSZUxNt7NbcBq1STKKxL6g")</f>
        <v>https://www.youtube.com/channel/UCqSZUxNt7NbcBq1STKKxL6g</v>
      </c>
      <c r="AU616" s="81" t="str">
        <f>REPLACE(INDEX(GroupVertices[Group],MATCH("~"&amp;Vertices[[#This Row],[Vertex]],GroupVertices[Vertex],0)),1,1,"")</f>
        <v>1</v>
      </c>
      <c r="AV616" s="49"/>
      <c r="AW616" s="49"/>
      <c r="AX616" s="49"/>
      <c r="AY616" s="49"/>
      <c r="AZ616" s="49"/>
      <c r="BA616" s="49"/>
      <c r="BB616" s="117" t="s">
        <v>4275</v>
      </c>
      <c r="BC616" s="117" t="s">
        <v>4275</v>
      </c>
      <c r="BD616" s="117" t="s">
        <v>4957</v>
      </c>
      <c r="BE616" s="117" t="s">
        <v>4957</v>
      </c>
      <c r="BF616" s="2"/>
      <c r="BG616" s="3"/>
      <c r="BH616" s="3"/>
      <c r="BI616" s="3"/>
      <c r="BJ616" s="3"/>
    </row>
    <row r="617" spans="1:62" ht="15">
      <c r="A617" s="66" t="s">
        <v>813</v>
      </c>
      <c r="B617" s="67"/>
      <c r="C617" s="67"/>
      <c r="D617" s="68">
        <v>50</v>
      </c>
      <c r="E617" s="70"/>
      <c r="F617" s="105" t="str">
        <f>HYPERLINK("https://yt3.ggpht.com/ytc/AIf8zZTiEI0G-dAgmZ83pO6kp4IfmiAuQk-Sk3qIyblZRDZWd4TBzivmqyPaTQm5sYAK=s88-c-k-c0x00ffffff-no-rj")</f>
        <v>https://yt3.ggpht.com/ytc/AIf8zZTiEI0G-dAgmZ83pO6kp4IfmiAuQk-Sk3qIyblZRDZWd4TBzivmqyPaTQm5sYAK=s88-c-k-c0x00ffffff-no-rj</v>
      </c>
      <c r="G617" s="67"/>
      <c r="H617" s="71" t="s">
        <v>3045</v>
      </c>
      <c r="I617" s="72"/>
      <c r="J617" s="72" t="s">
        <v>159</v>
      </c>
      <c r="K617" s="71" t="s">
        <v>3045</v>
      </c>
      <c r="L617" s="75">
        <v>1</v>
      </c>
      <c r="M617" s="76">
        <v>1256.722900390625</v>
      </c>
      <c r="N617" s="76">
        <v>5193.0888671875</v>
      </c>
      <c r="O617" s="77"/>
      <c r="P617" s="78"/>
      <c r="Q617" s="78"/>
      <c r="R617" s="90"/>
      <c r="S617" s="49">
        <v>0</v>
      </c>
      <c r="T617" s="49">
        <v>1</v>
      </c>
      <c r="U617" s="50">
        <v>0</v>
      </c>
      <c r="V617" s="50">
        <v>0.231785</v>
      </c>
      <c r="W617" s="51"/>
      <c r="X617" s="51"/>
      <c r="Y617" s="51"/>
      <c r="Z617" s="50"/>
      <c r="AA617" s="73">
        <v>617</v>
      </c>
      <c r="AB617" s="73"/>
      <c r="AC617" s="74"/>
      <c r="AD617" s="81" t="s">
        <v>3045</v>
      </c>
      <c r="AE617" s="81"/>
      <c r="AF617" s="81"/>
      <c r="AG617" s="81"/>
      <c r="AH617" s="81"/>
      <c r="AI617" s="81" t="s">
        <v>2279</v>
      </c>
      <c r="AJ617" s="88">
        <v>42781.594513888886</v>
      </c>
      <c r="AK617" s="86" t="str">
        <f>HYPERLINK("https://yt3.ggpht.com/ytc/AIf8zZTiEI0G-dAgmZ83pO6kp4IfmiAuQk-Sk3qIyblZRDZWd4TBzivmqyPaTQm5sYAK=s88-c-k-c0x00ffffff-no-rj")</f>
        <v>https://yt3.ggpht.com/ytc/AIf8zZTiEI0G-dAgmZ83pO6kp4IfmiAuQk-Sk3qIyblZRDZWd4TBzivmqyPaTQm5sYAK=s88-c-k-c0x00ffffff-no-rj</v>
      </c>
      <c r="AL617" s="81">
        <v>0</v>
      </c>
      <c r="AM617" s="81">
        <v>0</v>
      </c>
      <c r="AN617" s="81">
        <v>1</v>
      </c>
      <c r="AO617" s="81" t="b">
        <v>0</v>
      </c>
      <c r="AP617" s="81">
        <v>0</v>
      </c>
      <c r="AQ617" s="81"/>
      <c r="AR617" s="81"/>
      <c r="AS617" s="81" t="s">
        <v>3378</v>
      </c>
      <c r="AT617" s="86" t="str">
        <f>HYPERLINK("https://www.youtube.com/channel/UCTXr-K3WYUGHDZCC78s8EmA")</f>
        <v>https://www.youtube.com/channel/UCTXr-K3WYUGHDZCC78s8EmA</v>
      </c>
      <c r="AU617" s="81" t="str">
        <f>REPLACE(INDEX(GroupVertices[Group],MATCH("~"&amp;Vertices[[#This Row],[Vertex]],GroupVertices[Vertex],0)),1,1,"")</f>
        <v>1</v>
      </c>
      <c r="AV617" s="49"/>
      <c r="AW617" s="49"/>
      <c r="AX617" s="49"/>
      <c r="AY617" s="49"/>
      <c r="AZ617" s="49"/>
      <c r="BA617" s="49"/>
      <c r="BB617" s="117" t="s">
        <v>4276</v>
      </c>
      <c r="BC617" s="117" t="s">
        <v>4276</v>
      </c>
      <c r="BD617" s="117" t="s">
        <v>4958</v>
      </c>
      <c r="BE617" s="117" t="s">
        <v>4958</v>
      </c>
      <c r="BF617" s="2"/>
      <c r="BG617" s="3"/>
      <c r="BH617" s="3"/>
      <c r="BI617" s="3"/>
      <c r="BJ617" s="3"/>
    </row>
    <row r="618" spans="1:62" ht="15">
      <c r="A618" s="66" t="s">
        <v>814</v>
      </c>
      <c r="B618" s="67"/>
      <c r="C618" s="67"/>
      <c r="D618" s="68">
        <v>50</v>
      </c>
      <c r="E618" s="70"/>
      <c r="F618" s="105" t="str">
        <f>HYPERLINK("https://yt3.ggpht.com/ytc/AIf8zZSTLW3B_L5iFa54_kMtRUSTPnhFx8A1xYrRxMZe=s88-c-k-c0x00ffffff-no-rj")</f>
        <v>https://yt3.ggpht.com/ytc/AIf8zZSTLW3B_L5iFa54_kMtRUSTPnhFx8A1xYrRxMZe=s88-c-k-c0x00ffffff-no-rj</v>
      </c>
      <c r="G618" s="67"/>
      <c r="H618" s="71" t="s">
        <v>3046</v>
      </c>
      <c r="I618" s="72"/>
      <c r="J618" s="72" t="s">
        <v>159</v>
      </c>
      <c r="K618" s="71" t="s">
        <v>3046</v>
      </c>
      <c r="L618" s="75">
        <v>1</v>
      </c>
      <c r="M618" s="76">
        <v>3484.4296875</v>
      </c>
      <c r="N618" s="76">
        <v>8115.43603515625</v>
      </c>
      <c r="O618" s="77"/>
      <c r="P618" s="78"/>
      <c r="Q618" s="78"/>
      <c r="R618" s="90"/>
      <c r="S618" s="49">
        <v>0</v>
      </c>
      <c r="T618" s="49">
        <v>1</v>
      </c>
      <c r="U618" s="50">
        <v>0</v>
      </c>
      <c r="V618" s="50">
        <v>0.231785</v>
      </c>
      <c r="W618" s="51"/>
      <c r="X618" s="51"/>
      <c r="Y618" s="51"/>
      <c r="Z618" s="50"/>
      <c r="AA618" s="73">
        <v>618</v>
      </c>
      <c r="AB618" s="73"/>
      <c r="AC618" s="74"/>
      <c r="AD618" s="81" t="s">
        <v>3046</v>
      </c>
      <c r="AE618" s="81"/>
      <c r="AF618" s="81"/>
      <c r="AG618" s="81"/>
      <c r="AH618" s="81"/>
      <c r="AI618" s="81" t="s">
        <v>2280</v>
      </c>
      <c r="AJ618" s="88">
        <v>38856.900983796295</v>
      </c>
      <c r="AK618" s="86" t="str">
        <f>HYPERLINK("https://yt3.ggpht.com/ytc/AIf8zZSTLW3B_L5iFa54_kMtRUSTPnhFx8A1xYrRxMZe=s88-c-k-c0x00ffffff-no-rj")</f>
        <v>https://yt3.ggpht.com/ytc/AIf8zZSTLW3B_L5iFa54_kMtRUSTPnhFx8A1xYrRxMZe=s88-c-k-c0x00ffffff-no-rj</v>
      </c>
      <c r="AL618" s="81">
        <v>0</v>
      </c>
      <c r="AM618" s="81">
        <v>0</v>
      </c>
      <c r="AN618" s="81">
        <v>2</v>
      </c>
      <c r="AO618" s="81" t="b">
        <v>0</v>
      </c>
      <c r="AP618" s="81">
        <v>0</v>
      </c>
      <c r="AQ618" s="81"/>
      <c r="AR618" s="81"/>
      <c r="AS618" s="81" t="s">
        <v>3378</v>
      </c>
      <c r="AT618" s="86" t="str">
        <f>HYPERLINK("https://www.youtube.com/channel/UCeFU7G4NPnykJY4uI1C9DyA")</f>
        <v>https://www.youtube.com/channel/UCeFU7G4NPnykJY4uI1C9DyA</v>
      </c>
      <c r="AU618" s="81" t="str">
        <f>REPLACE(INDEX(GroupVertices[Group],MATCH("~"&amp;Vertices[[#This Row],[Vertex]],GroupVertices[Vertex],0)),1,1,"")</f>
        <v>1</v>
      </c>
      <c r="AV618" s="49"/>
      <c r="AW618" s="49"/>
      <c r="AX618" s="49"/>
      <c r="AY618" s="49"/>
      <c r="AZ618" s="49"/>
      <c r="BA618" s="49"/>
      <c r="BB618" s="117" t="s">
        <v>4277</v>
      </c>
      <c r="BC618" s="117" t="s">
        <v>4277</v>
      </c>
      <c r="BD618" s="117" t="s">
        <v>4959</v>
      </c>
      <c r="BE618" s="117" t="s">
        <v>4959</v>
      </c>
      <c r="BF618" s="2"/>
      <c r="BG618" s="3"/>
      <c r="BH618" s="3"/>
      <c r="BI618" s="3"/>
      <c r="BJ618" s="3"/>
    </row>
    <row r="619" spans="1:62" ht="15">
      <c r="A619" s="66" t="s">
        <v>815</v>
      </c>
      <c r="B619" s="67"/>
      <c r="C619" s="67"/>
      <c r="D619" s="68">
        <v>50</v>
      </c>
      <c r="E619" s="70"/>
      <c r="F619" s="105" t="str">
        <f>HYPERLINK("https://yt3.ggpht.com/ytc/AIf8zZTMZzNJP2FgxZbr9RCAvFUZ_E8izCrB_BSkPw=s88-c-k-c0x00ffffff-no-rj")</f>
        <v>https://yt3.ggpht.com/ytc/AIf8zZTMZzNJP2FgxZbr9RCAvFUZ_E8izCrB_BSkPw=s88-c-k-c0x00ffffff-no-rj</v>
      </c>
      <c r="G619" s="67"/>
      <c r="H619" s="71" t="s">
        <v>3047</v>
      </c>
      <c r="I619" s="72"/>
      <c r="J619" s="72" t="s">
        <v>159</v>
      </c>
      <c r="K619" s="71" t="s">
        <v>3047</v>
      </c>
      <c r="L619" s="75">
        <v>1</v>
      </c>
      <c r="M619" s="76">
        <v>3348.667724609375</v>
      </c>
      <c r="N619" s="76">
        <v>6830.09814453125</v>
      </c>
      <c r="O619" s="77"/>
      <c r="P619" s="78"/>
      <c r="Q619" s="78"/>
      <c r="R619" s="90"/>
      <c r="S619" s="49">
        <v>0</v>
      </c>
      <c r="T619" s="49">
        <v>1</v>
      </c>
      <c r="U619" s="50">
        <v>0</v>
      </c>
      <c r="V619" s="50">
        <v>0.231785</v>
      </c>
      <c r="W619" s="51"/>
      <c r="X619" s="51"/>
      <c r="Y619" s="51"/>
      <c r="Z619" s="50"/>
      <c r="AA619" s="73">
        <v>619</v>
      </c>
      <c r="AB619" s="73"/>
      <c r="AC619" s="74"/>
      <c r="AD619" s="81" t="s">
        <v>3047</v>
      </c>
      <c r="AE619" s="81"/>
      <c r="AF619" s="81"/>
      <c r="AG619" s="81"/>
      <c r="AH619" s="81"/>
      <c r="AI619" s="81" t="s">
        <v>2281</v>
      </c>
      <c r="AJ619" s="88">
        <v>42484.646898148145</v>
      </c>
      <c r="AK619" s="86" t="str">
        <f>HYPERLINK("https://yt3.ggpht.com/ytc/AIf8zZTMZzNJP2FgxZbr9RCAvFUZ_E8izCrB_BSkPw=s88-c-k-c0x00ffffff-no-rj")</f>
        <v>https://yt3.ggpht.com/ytc/AIf8zZTMZzNJP2FgxZbr9RCAvFUZ_E8izCrB_BSkPw=s88-c-k-c0x00ffffff-no-rj</v>
      </c>
      <c r="AL619" s="81">
        <v>0</v>
      </c>
      <c r="AM619" s="81">
        <v>0</v>
      </c>
      <c r="AN619" s="81">
        <v>0</v>
      </c>
      <c r="AO619" s="81" t="b">
        <v>0</v>
      </c>
      <c r="AP619" s="81">
        <v>0</v>
      </c>
      <c r="AQ619" s="81"/>
      <c r="AR619" s="81"/>
      <c r="AS619" s="81" t="s">
        <v>3378</v>
      </c>
      <c r="AT619" s="86" t="str">
        <f>HYPERLINK("https://www.youtube.com/channel/UC4nWY5UZuN78231l5-_KW6g")</f>
        <v>https://www.youtube.com/channel/UC4nWY5UZuN78231l5-_KW6g</v>
      </c>
      <c r="AU619" s="81" t="str">
        <f>REPLACE(INDEX(GroupVertices[Group],MATCH("~"&amp;Vertices[[#This Row],[Vertex]],GroupVertices[Vertex],0)),1,1,"")</f>
        <v>1</v>
      </c>
      <c r="AV619" s="49"/>
      <c r="AW619" s="49"/>
      <c r="AX619" s="49"/>
      <c r="AY619" s="49"/>
      <c r="AZ619" s="49"/>
      <c r="BA619" s="49"/>
      <c r="BB619" s="117" t="s">
        <v>4278</v>
      </c>
      <c r="BC619" s="117" t="s">
        <v>4278</v>
      </c>
      <c r="BD619" s="117" t="s">
        <v>4960</v>
      </c>
      <c r="BE619" s="117" t="s">
        <v>4960</v>
      </c>
      <c r="BF619" s="2"/>
      <c r="BG619" s="3"/>
      <c r="BH619" s="3"/>
      <c r="BI619" s="3"/>
      <c r="BJ619" s="3"/>
    </row>
    <row r="620" spans="1:62" ht="15">
      <c r="A620" s="66" t="s">
        <v>816</v>
      </c>
      <c r="B620" s="67"/>
      <c r="C620" s="67"/>
      <c r="D620" s="68">
        <v>50</v>
      </c>
      <c r="E620" s="70"/>
      <c r="F620" s="105" t="str">
        <f>HYPERLINK("https://yt3.ggpht.com/ytc/AIf8zZT05sgrjyFtpbC8EMccy8ZiYjPPa90KUN2spA=s88-c-k-c0x00ffffff-no-rj")</f>
        <v>https://yt3.ggpht.com/ytc/AIf8zZT05sgrjyFtpbC8EMccy8ZiYjPPa90KUN2spA=s88-c-k-c0x00ffffff-no-rj</v>
      </c>
      <c r="G620" s="67"/>
      <c r="H620" s="71" t="s">
        <v>3048</v>
      </c>
      <c r="I620" s="72"/>
      <c r="J620" s="72" t="s">
        <v>159</v>
      </c>
      <c r="K620" s="71" t="s">
        <v>3048</v>
      </c>
      <c r="L620" s="75">
        <v>1</v>
      </c>
      <c r="M620" s="76">
        <v>3161.688232421875</v>
      </c>
      <c r="N620" s="76">
        <v>6013.44580078125</v>
      </c>
      <c r="O620" s="77"/>
      <c r="P620" s="78"/>
      <c r="Q620" s="78"/>
      <c r="R620" s="90"/>
      <c r="S620" s="49">
        <v>0</v>
      </c>
      <c r="T620" s="49">
        <v>1</v>
      </c>
      <c r="U620" s="50">
        <v>0</v>
      </c>
      <c r="V620" s="50">
        <v>0.231785</v>
      </c>
      <c r="W620" s="51"/>
      <c r="X620" s="51"/>
      <c r="Y620" s="51"/>
      <c r="Z620" s="50"/>
      <c r="AA620" s="73">
        <v>620</v>
      </c>
      <c r="AB620" s="73"/>
      <c r="AC620" s="74"/>
      <c r="AD620" s="81" t="s">
        <v>3048</v>
      </c>
      <c r="AE620" s="81"/>
      <c r="AF620" s="81"/>
      <c r="AG620" s="81"/>
      <c r="AH620" s="81"/>
      <c r="AI620" s="81" t="s">
        <v>2282</v>
      </c>
      <c r="AJ620" s="88">
        <v>42705.033009259256</v>
      </c>
      <c r="AK620" s="86" t="str">
        <f>HYPERLINK("https://yt3.ggpht.com/ytc/AIf8zZT05sgrjyFtpbC8EMccy8ZiYjPPa90KUN2spA=s88-c-k-c0x00ffffff-no-rj")</f>
        <v>https://yt3.ggpht.com/ytc/AIf8zZT05sgrjyFtpbC8EMccy8ZiYjPPa90KUN2spA=s88-c-k-c0x00ffffff-no-rj</v>
      </c>
      <c r="AL620" s="81">
        <v>67</v>
      </c>
      <c r="AM620" s="81">
        <v>0</v>
      </c>
      <c r="AN620" s="81">
        <v>0</v>
      </c>
      <c r="AO620" s="81" t="b">
        <v>0</v>
      </c>
      <c r="AP620" s="81">
        <v>1</v>
      </c>
      <c r="AQ620" s="81"/>
      <c r="AR620" s="81"/>
      <c r="AS620" s="81" t="s">
        <v>3378</v>
      </c>
      <c r="AT620" s="86" t="str">
        <f>HYPERLINK("https://www.youtube.com/channel/UCTy-JYRRcMnRiqx1_ngPU3Q")</f>
        <v>https://www.youtube.com/channel/UCTy-JYRRcMnRiqx1_ngPU3Q</v>
      </c>
      <c r="AU620" s="81" t="str">
        <f>REPLACE(INDEX(GroupVertices[Group],MATCH("~"&amp;Vertices[[#This Row],[Vertex]],GroupVertices[Vertex],0)),1,1,"")</f>
        <v>1</v>
      </c>
      <c r="AV620" s="49"/>
      <c r="AW620" s="49"/>
      <c r="AX620" s="49"/>
      <c r="AY620" s="49"/>
      <c r="AZ620" s="49"/>
      <c r="BA620" s="49"/>
      <c r="BB620" s="117" t="s">
        <v>4279</v>
      </c>
      <c r="BC620" s="117" t="s">
        <v>4279</v>
      </c>
      <c r="BD620" s="117" t="s">
        <v>4961</v>
      </c>
      <c r="BE620" s="117" t="s">
        <v>4961</v>
      </c>
      <c r="BF620" s="2"/>
      <c r="BG620" s="3"/>
      <c r="BH620" s="3"/>
      <c r="BI620" s="3"/>
      <c r="BJ620" s="3"/>
    </row>
    <row r="621" spans="1:62" ht="15">
      <c r="A621" s="66" t="s">
        <v>817</v>
      </c>
      <c r="B621" s="67"/>
      <c r="C621" s="67"/>
      <c r="D621" s="68">
        <v>50</v>
      </c>
      <c r="E621" s="70"/>
      <c r="F621" s="105" t="str">
        <f>HYPERLINK("https://yt3.ggpht.com/ytc/AIf8zZSsMi66jvS3DuYfenEjdJJpcvtAkb_ObZY39Q=s88-c-k-c0x00ffffff-no-rj")</f>
        <v>https://yt3.ggpht.com/ytc/AIf8zZSsMi66jvS3DuYfenEjdJJpcvtAkb_ObZY39Q=s88-c-k-c0x00ffffff-no-rj</v>
      </c>
      <c r="G621" s="67"/>
      <c r="H621" s="71" t="s">
        <v>3049</v>
      </c>
      <c r="I621" s="72"/>
      <c r="J621" s="72" t="s">
        <v>159</v>
      </c>
      <c r="K621" s="71" t="s">
        <v>3049</v>
      </c>
      <c r="L621" s="75">
        <v>1</v>
      </c>
      <c r="M621" s="76">
        <v>2867.2744140625</v>
      </c>
      <c r="N621" s="76">
        <v>4496.01953125</v>
      </c>
      <c r="O621" s="77"/>
      <c r="P621" s="78"/>
      <c r="Q621" s="78"/>
      <c r="R621" s="90"/>
      <c r="S621" s="49">
        <v>0</v>
      </c>
      <c r="T621" s="49">
        <v>1</v>
      </c>
      <c r="U621" s="50">
        <v>0</v>
      </c>
      <c r="V621" s="50">
        <v>0.231785</v>
      </c>
      <c r="W621" s="51"/>
      <c r="X621" s="51"/>
      <c r="Y621" s="51"/>
      <c r="Z621" s="50"/>
      <c r="AA621" s="73">
        <v>621</v>
      </c>
      <c r="AB621" s="73"/>
      <c r="AC621" s="74"/>
      <c r="AD621" s="81" t="s">
        <v>3049</v>
      </c>
      <c r="AE621" s="81"/>
      <c r="AF621" s="81"/>
      <c r="AG621" s="81"/>
      <c r="AH621" s="81"/>
      <c r="AI621" s="81" t="s">
        <v>2283</v>
      </c>
      <c r="AJ621" s="88">
        <v>41404.81181712963</v>
      </c>
      <c r="AK621" s="86" t="str">
        <f>HYPERLINK("https://yt3.ggpht.com/ytc/AIf8zZSsMi66jvS3DuYfenEjdJJpcvtAkb_ObZY39Q=s88-c-k-c0x00ffffff-no-rj")</f>
        <v>https://yt3.ggpht.com/ytc/AIf8zZSsMi66jvS3DuYfenEjdJJpcvtAkb_ObZY39Q=s88-c-k-c0x00ffffff-no-rj</v>
      </c>
      <c r="AL621" s="81">
        <v>0</v>
      </c>
      <c r="AM621" s="81">
        <v>0</v>
      </c>
      <c r="AN621" s="81">
        <v>0</v>
      </c>
      <c r="AO621" s="81" t="b">
        <v>0</v>
      </c>
      <c r="AP621" s="81">
        <v>0</v>
      </c>
      <c r="AQ621" s="81"/>
      <c r="AR621" s="81"/>
      <c r="AS621" s="81" t="s">
        <v>3378</v>
      </c>
      <c r="AT621" s="86" t="str">
        <f>HYPERLINK("https://www.youtube.com/channel/UCIArBoejFG8orctlw8-SJiQ")</f>
        <v>https://www.youtube.com/channel/UCIArBoejFG8orctlw8-SJiQ</v>
      </c>
      <c r="AU621" s="81" t="str">
        <f>REPLACE(INDEX(GroupVertices[Group],MATCH("~"&amp;Vertices[[#This Row],[Vertex]],GroupVertices[Vertex],0)),1,1,"")</f>
        <v>1</v>
      </c>
      <c r="AV621" s="49"/>
      <c r="AW621" s="49"/>
      <c r="AX621" s="49"/>
      <c r="AY621" s="49"/>
      <c r="AZ621" s="49"/>
      <c r="BA621" s="49"/>
      <c r="BB621" s="117" t="s">
        <v>4280</v>
      </c>
      <c r="BC621" s="117" t="s">
        <v>4280</v>
      </c>
      <c r="BD621" s="117" t="s">
        <v>4962</v>
      </c>
      <c r="BE621" s="117" t="s">
        <v>4962</v>
      </c>
      <c r="BF621" s="2"/>
      <c r="BG621" s="3"/>
      <c r="BH621" s="3"/>
      <c r="BI621" s="3"/>
      <c r="BJ621" s="3"/>
    </row>
    <row r="622" spans="1:62" ht="15">
      <c r="A622" s="66" t="s">
        <v>818</v>
      </c>
      <c r="B622" s="67"/>
      <c r="C622" s="67"/>
      <c r="D622" s="68">
        <v>50</v>
      </c>
      <c r="E622" s="70"/>
      <c r="F622" s="105" t="str">
        <f>HYPERLINK("https://yt3.ggpht.com/ytc/AIf8zZQYNCIDRgH441FWZF5NmRIaG_NUlVhuB3il5w=s88-c-k-c0x00ffffff-no-rj")</f>
        <v>https://yt3.ggpht.com/ytc/AIf8zZQYNCIDRgH441FWZF5NmRIaG_NUlVhuB3il5w=s88-c-k-c0x00ffffff-no-rj</v>
      </c>
      <c r="G622" s="67"/>
      <c r="H622" s="71" t="s">
        <v>3050</v>
      </c>
      <c r="I622" s="72"/>
      <c r="J622" s="72" t="s">
        <v>159</v>
      </c>
      <c r="K622" s="71" t="s">
        <v>3050</v>
      </c>
      <c r="L622" s="75">
        <v>1</v>
      </c>
      <c r="M622" s="76">
        <v>1417.99267578125</v>
      </c>
      <c r="N622" s="76">
        <v>8631.259765625</v>
      </c>
      <c r="O622" s="77"/>
      <c r="P622" s="78"/>
      <c r="Q622" s="78"/>
      <c r="R622" s="90"/>
      <c r="S622" s="49">
        <v>0</v>
      </c>
      <c r="T622" s="49">
        <v>1</v>
      </c>
      <c r="U622" s="50">
        <v>0</v>
      </c>
      <c r="V622" s="50">
        <v>0.231785</v>
      </c>
      <c r="W622" s="51"/>
      <c r="X622" s="51"/>
      <c r="Y622" s="51"/>
      <c r="Z622" s="50"/>
      <c r="AA622" s="73">
        <v>622</v>
      </c>
      <c r="AB622" s="73"/>
      <c r="AC622" s="74"/>
      <c r="AD622" s="81" t="s">
        <v>3050</v>
      </c>
      <c r="AE622" s="81"/>
      <c r="AF622" s="81"/>
      <c r="AG622" s="81"/>
      <c r="AH622" s="81"/>
      <c r="AI622" s="81" t="s">
        <v>2284</v>
      </c>
      <c r="AJ622" s="88">
        <v>43997.91307870371</v>
      </c>
      <c r="AK622" s="86" t="str">
        <f>HYPERLINK("https://yt3.ggpht.com/ytc/AIf8zZQYNCIDRgH441FWZF5NmRIaG_NUlVhuB3il5w=s88-c-k-c0x00ffffff-no-rj")</f>
        <v>https://yt3.ggpht.com/ytc/AIf8zZQYNCIDRgH441FWZF5NmRIaG_NUlVhuB3il5w=s88-c-k-c0x00ffffff-no-rj</v>
      </c>
      <c r="AL622" s="81">
        <v>0</v>
      </c>
      <c r="AM622" s="81">
        <v>0</v>
      </c>
      <c r="AN622" s="81">
        <v>0</v>
      </c>
      <c r="AO622" s="81" t="b">
        <v>0</v>
      </c>
      <c r="AP622" s="81">
        <v>0</v>
      </c>
      <c r="AQ622" s="81"/>
      <c r="AR622" s="81"/>
      <c r="AS622" s="81" t="s">
        <v>3378</v>
      </c>
      <c r="AT622" s="86" t="str">
        <f>HYPERLINK("https://www.youtube.com/channel/UCYSZu-_m59Sump2qPo30Utg")</f>
        <v>https://www.youtube.com/channel/UCYSZu-_m59Sump2qPo30Utg</v>
      </c>
      <c r="AU622" s="81" t="str">
        <f>REPLACE(INDEX(GroupVertices[Group],MATCH("~"&amp;Vertices[[#This Row],[Vertex]],GroupVertices[Vertex],0)),1,1,"")</f>
        <v>1</v>
      </c>
      <c r="AV622" s="49"/>
      <c r="AW622" s="49"/>
      <c r="AX622" s="49"/>
      <c r="AY622" s="49"/>
      <c r="AZ622" s="49"/>
      <c r="BA622" s="49"/>
      <c r="BB622" s="117" t="s">
        <v>4281</v>
      </c>
      <c r="BC622" s="117" t="s">
        <v>4281</v>
      </c>
      <c r="BD622" s="117" t="s">
        <v>4963</v>
      </c>
      <c r="BE622" s="117" t="s">
        <v>4963</v>
      </c>
      <c r="BF622" s="2"/>
      <c r="BG622" s="3"/>
      <c r="BH622" s="3"/>
      <c r="BI622" s="3"/>
      <c r="BJ622" s="3"/>
    </row>
    <row r="623" spans="1:62" ht="15">
      <c r="A623" s="66" t="s">
        <v>819</v>
      </c>
      <c r="B623" s="67"/>
      <c r="C623" s="67"/>
      <c r="D623" s="68">
        <v>50</v>
      </c>
      <c r="E623" s="70"/>
      <c r="F623" s="105" t="str">
        <f>HYPERLINK("https://yt3.ggpht.com/dNPEIhd-fcRfHLsPAGRWiundUmYIPoaV1eM0c7USQgO1dcvFzo9_KfM7CUwztpyC0uBaTH-4Hfk=s88-c-k-c0x00ffffff-no-rj")</f>
        <v>https://yt3.ggpht.com/dNPEIhd-fcRfHLsPAGRWiundUmYIPoaV1eM0c7USQgO1dcvFzo9_KfM7CUwztpyC0uBaTH-4Hfk=s88-c-k-c0x00ffffff-no-rj</v>
      </c>
      <c r="G623" s="67"/>
      <c r="H623" s="71" t="s">
        <v>3051</v>
      </c>
      <c r="I623" s="72"/>
      <c r="J623" s="72" t="s">
        <v>159</v>
      </c>
      <c r="K623" s="71" t="s">
        <v>3051</v>
      </c>
      <c r="L623" s="75">
        <v>1</v>
      </c>
      <c r="M623" s="76">
        <v>3746.971435546875</v>
      </c>
      <c r="N623" s="76">
        <v>6730.1181640625</v>
      </c>
      <c r="O623" s="77"/>
      <c r="P623" s="78"/>
      <c r="Q623" s="78"/>
      <c r="R623" s="90"/>
      <c r="S623" s="49">
        <v>0</v>
      </c>
      <c r="T623" s="49">
        <v>1</v>
      </c>
      <c r="U623" s="50">
        <v>0</v>
      </c>
      <c r="V623" s="50">
        <v>0.231785</v>
      </c>
      <c r="W623" s="51"/>
      <c r="X623" s="51"/>
      <c r="Y623" s="51"/>
      <c r="Z623" s="50"/>
      <c r="AA623" s="73">
        <v>623</v>
      </c>
      <c r="AB623" s="73"/>
      <c r="AC623" s="74"/>
      <c r="AD623" s="81" t="s">
        <v>3051</v>
      </c>
      <c r="AE623" s="81"/>
      <c r="AF623" s="81"/>
      <c r="AG623" s="81"/>
      <c r="AH623" s="81"/>
      <c r="AI623" s="81" t="s">
        <v>2285</v>
      </c>
      <c r="AJ623" s="88">
        <v>41521.10988425926</v>
      </c>
      <c r="AK623" s="86" t="str">
        <f>HYPERLINK("https://yt3.ggpht.com/dNPEIhd-fcRfHLsPAGRWiundUmYIPoaV1eM0c7USQgO1dcvFzo9_KfM7CUwztpyC0uBaTH-4Hfk=s88-c-k-c0x00ffffff-no-rj")</f>
        <v>https://yt3.ggpht.com/dNPEIhd-fcRfHLsPAGRWiundUmYIPoaV1eM0c7USQgO1dcvFzo9_KfM7CUwztpyC0uBaTH-4Hfk=s88-c-k-c0x00ffffff-no-rj</v>
      </c>
      <c r="AL623" s="81">
        <v>8443</v>
      </c>
      <c r="AM623" s="81">
        <v>0</v>
      </c>
      <c r="AN623" s="81">
        <v>231</v>
      </c>
      <c r="AO623" s="81" t="b">
        <v>0</v>
      </c>
      <c r="AP623" s="81">
        <v>71</v>
      </c>
      <c r="AQ623" s="81"/>
      <c r="AR623" s="81"/>
      <c r="AS623" s="81" t="s">
        <v>3378</v>
      </c>
      <c r="AT623" s="86" t="str">
        <f>HYPERLINK("https://www.youtube.com/channel/UCUNZ28Ydsumo0P8FZ9OtquA")</f>
        <v>https://www.youtube.com/channel/UCUNZ28Ydsumo0P8FZ9OtquA</v>
      </c>
      <c r="AU623" s="81" t="str">
        <f>REPLACE(INDEX(GroupVertices[Group],MATCH("~"&amp;Vertices[[#This Row],[Vertex]],GroupVertices[Vertex],0)),1,1,"")</f>
        <v>1</v>
      </c>
      <c r="AV623" s="49"/>
      <c r="AW623" s="49"/>
      <c r="AX623" s="49"/>
      <c r="AY623" s="49"/>
      <c r="AZ623" s="49"/>
      <c r="BA623" s="49"/>
      <c r="BB623" s="117" t="s">
        <v>2423</v>
      </c>
      <c r="BC623" s="117" t="s">
        <v>2423</v>
      </c>
      <c r="BD623" s="117" t="s">
        <v>2423</v>
      </c>
      <c r="BE623" s="117" t="s">
        <v>2423</v>
      </c>
      <c r="BF623" s="2"/>
      <c r="BG623" s="3"/>
      <c r="BH623" s="3"/>
      <c r="BI623" s="3"/>
      <c r="BJ623" s="3"/>
    </row>
    <row r="624" spans="1:62" ht="15">
      <c r="A624" s="66" t="s">
        <v>820</v>
      </c>
      <c r="B624" s="67"/>
      <c r="C624" s="67"/>
      <c r="D624" s="68">
        <v>50</v>
      </c>
      <c r="E624" s="70"/>
      <c r="F624" s="105" t="str">
        <f>HYPERLINK("https://yt3.ggpht.com/ytc/AIf8zZRqDvXhmmrlQNzUQnyOQY-3dEpYc5uQoEENemjL=s88-c-k-c0x00ffffff-no-rj")</f>
        <v>https://yt3.ggpht.com/ytc/AIf8zZRqDvXhmmrlQNzUQnyOQY-3dEpYc5uQoEENemjL=s88-c-k-c0x00ffffff-no-rj</v>
      </c>
      <c r="G624" s="67"/>
      <c r="H624" s="71" t="s">
        <v>3052</v>
      </c>
      <c r="I624" s="72"/>
      <c r="J624" s="72" t="s">
        <v>159</v>
      </c>
      <c r="K624" s="71" t="s">
        <v>3052</v>
      </c>
      <c r="L624" s="75">
        <v>1</v>
      </c>
      <c r="M624" s="76">
        <v>1569.6568603515625</v>
      </c>
      <c r="N624" s="76">
        <v>9789.3046875</v>
      </c>
      <c r="O624" s="77"/>
      <c r="P624" s="78"/>
      <c r="Q624" s="78"/>
      <c r="R624" s="90"/>
      <c r="S624" s="49">
        <v>0</v>
      </c>
      <c r="T624" s="49">
        <v>1</v>
      </c>
      <c r="U624" s="50">
        <v>0</v>
      </c>
      <c r="V624" s="50">
        <v>0.231785</v>
      </c>
      <c r="W624" s="51"/>
      <c r="X624" s="51"/>
      <c r="Y624" s="51"/>
      <c r="Z624" s="50"/>
      <c r="AA624" s="73">
        <v>624</v>
      </c>
      <c r="AB624" s="73"/>
      <c r="AC624" s="74"/>
      <c r="AD624" s="81" t="s">
        <v>3052</v>
      </c>
      <c r="AE624" s="81" t="s">
        <v>3218</v>
      </c>
      <c r="AF624" s="81"/>
      <c r="AG624" s="81"/>
      <c r="AH624" s="81"/>
      <c r="AI624" s="81" t="s">
        <v>3363</v>
      </c>
      <c r="AJ624" s="88">
        <v>41258.08427083334</v>
      </c>
      <c r="AK624" s="86" t="str">
        <f>HYPERLINK("https://yt3.ggpht.com/ytc/AIf8zZRqDvXhmmrlQNzUQnyOQY-3dEpYc5uQoEENemjL=s88-c-k-c0x00ffffff-no-rj")</f>
        <v>https://yt3.ggpht.com/ytc/AIf8zZRqDvXhmmrlQNzUQnyOQY-3dEpYc5uQoEENemjL=s88-c-k-c0x00ffffff-no-rj</v>
      </c>
      <c r="AL624" s="81">
        <v>14178</v>
      </c>
      <c r="AM624" s="81">
        <v>0</v>
      </c>
      <c r="AN624" s="81">
        <v>0</v>
      </c>
      <c r="AO624" s="81" t="b">
        <v>0</v>
      </c>
      <c r="AP624" s="81">
        <v>4</v>
      </c>
      <c r="AQ624" s="81"/>
      <c r="AR624" s="81"/>
      <c r="AS624" s="81" t="s">
        <v>3378</v>
      </c>
      <c r="AT624" s="86" t="str">
        <f>HYPERLINK("https://www.youtube.com/channel/UCGpTuGCmesmi43FszTV4R_g")</f>
        <v>https://www.youtube.com/channel/UCGpTuGCmesmi43FszTV4R_g</v>
      </c>
      <c r="AU624" s="81" t="str">
        <f>REPLACE(INDEX(GroupVertices[Group],MATCH("~"&amp;Vertices[[#This Row],[Vertex]],GroupVertices[Vertex],0)),1,1,"")</f>
        <v>1</v>
      </c>
      <c r="AV624" s="49"/>
      <c r="AW624" s="49"/>
      <c r="AX624" s="49"/>
      <c r="AY624" s="49"/>
      <c r="AZ624" s="49"/>
      <c r="BA624" s="49"/>
      <c r="BB624" s="117" t="s">
        <v>4282</v>
      </c>
      <c r="BC624" s="117" t="s">
        <v>4282</v>
      </c>
      <c r="BD624" s="117" t="s">
        <v>4964</v>
      </c>
      <c r="BE624" s="117" t="s">
        <v>4964</v>
      </c>
      <c r="BF624" s="2"/>
      <c r="BG624" s="3"/>
      <c r="BH624" s="3"/>
      <c r="BI624" s="3"/>
      <c r="BJ624" s="3"/>
    </row>
    <row r="625" spans="1:62" ht="15">
      <c r="A625" s="66" t="s">
        <v>821</v>
      </c>
      <c r="B625" s="67"/>
      <c r="C625" s="67"/>
      <c r="D625" s="68">
        <v>50</v>
      </c>
      <c r="E625" s="70"/>
      <c r="F625" s="105" t="str">
        <f>HYPERLINK("https://yt3.ggpht.com/ytc/AIf8zZRPXc2CsZpWDFISBYP5dnnJSqmvMl1MHk3VimtI=s88-c-k-c0x00ffffff-no-rj")</f>
        <v>https://yt3.ggpht.com/ytc/AIf8zZRPXc2CsZpWDFISBYP5dnnJSqmvMl1MHk3VimtI=s88-c-k-c0x00ffffff-no-rj</v>
      </c>
      <c r="G625" s="67"/>
      <c r="H625" s="71" t="s">
        <v>3053</v>
      </c>
      <c r="I625" s="72"/>
      <c r="J625" s="72" t="s">
        <v>159</v>
      </c>
      <c r="K625" s="71" t="s">
        <v>3053</v>
      </c>
      <c r="L625" s="75">
        <v>1</v>
      </c>
      <c r="M625" s="76">
        <v>2643.739013671875</v>
      </c>
      <c r="N625" s="76">
        <v>9430.1455078125</v>
      </c>
      <c r="O625" s="77"/>
      <c r="P625" s="78"/>
      <c r="Q625" s="78"/>
      <c r="R625" s="90"/>
      <c r="S625" s="49">
        <v>0</v>
      </c>
      <c r="T625" s="49">
        <v>1</v>
      </c>
      <c r="U625" s="50">
        <v>0</v>
      </c>
      <c r="V625" s="50">
        <v>0.231785</v>
      </c>
      <c r="W625" s="51"/>
      <c r="X625" s="51"/>
      <c r="Y625" s="51"/>
      <c r="Z625" s="50"/>
      <c r="AA625" s="73">
        <v>625</v>
      </c>
      <c r="AB625" s="73"/>
      <c r="AC625" s="74"/>
      <c r="AD625" s="81" t="s">
        <v>3053</v>
      </c>
      <c r="AE625" s="81"/>
      <c r="AF625" s="81"/>
      <c r="AG625" s="81"/>
      <c r="AH625" s="81"/>
      <c r="AI625" s="81" t="s">
        <v>3364</v>
      </c>
      <c r="AJ625" s="88">
        <v>40864.30269675926</v>
      </c>
      <c r="AK625" s="86" t="str">
        <f>HYPERLINK("https://yt3.ggpht.com/ytc/AIf8zZRPXc2CsZpWDFISBYP5dnnJSqmvMl1MHk3VimtI=s88-c-k-c0x00ffffff-no-rj")</f>
        <v>https://yt3.ggpht.com/ytc/AIf8zZRPXc2CsZpWDFISBYP5dnnJSqmvMl1MHk3VimtI=s88-c-k-c0x00ffffff-no-rj</v>
      </c>
      <c r="AL625" s="81">
        <v>0</v>
      </c>
      <c r="AM625" s="81">
        <v>0</v>
      </c>
      <c r="AN625" s="81">
        <v>3</v>
      </c>
      <c r="AO625" s="81" t="b">
        <v>0</v>
      </c>
      <c r="AP625" s="81">
        <v>0</v>
      </c>
      <c r="AQ625" s="81"/>
      <c r="AR625" s="81"/>
      <c r="AS625" s="81" t="s">
        <v>3378</v>
      </c>
      <c r="AT625" s="86" t="str">
        <f>HYPERLINK("https://www.youtube.com/channel/UC8_MqNMB8IcDBWPxbA-E02g")</f>
        <v>https://www.youtube.com/channel/UC8_MqNMB8IcDBWPxbA-E02g</v>
      </c>
      <c r="AU625" s="81" t="str">
        <f>REPLACE(INDEX(GroupVertices[Group],MATCH("~"&amp;Vertices[[#This Row],[Vertex]],GroupVertices[Vertex],0)),1,1,"")</f>
        <v>1</v>
      </c>
      <c r="AV625" s="49"/>
      <c r="AW625" s="49"/>
      <c r="AX625" s="49"/>
      <c r="AY625" s="49"/>
      <c r="AZ625" s="49"/>
      <c r="BA625" s="49"/>
      <c r="BB625" s="117" t="s">
        <v>4283</v>
      </c>
      <c r="BC625" s="117" t="s">
        <v>4283</v>
      </c>
      <c r="BD625" s="117" t="s">
        <v>4965</v>
      </c>
      <c r="BE625" s="117" t="s">
        <v>4965</v>
      </c>
      <c r="BF625" s="2"/>
      <c r="BG625" s="3"/>
      <c r="BH625" s="3"/>
      <c r="BI625" s="3"/>
      <c r="BJ625" s="3"/>
    </row>
    <row r="626" spans="1:62" ht="15">
      <c r="A626" s="66" t="s">
        <v>822</v>
      </c>
      <c r="B626" s="67"/>
      <c r="C626" s="67"/>
      <c r="D626" s="68">
        <v>50</v>
      </c>
      <c r="E626" s="70"/>
      <c r="F626" s="105" t="str">
        <f>HYPERLINK("https://yt3.ggpht.com/ytc/AIf8zZTDyVpHGPDUOBF2AyS7_mwGYWsUrKvdKn5jcN-F2S0=s88-c-k-c0x00ffffff-no-rj")</f>
        <v>https://yt3.ggpht.com/ytc/AIf8zZTDyVpHGPDUOBF2AyS7_mwGYWsUrKvdKn5jcN-F2S0=s88-c-k-c0x00ffffff-no-rj</v>
      </c>
      <c r="G626" s="67"/>
      <c r="H626" s="71" t="s">
        <v>3054</v>
      </c>
      <c r="I626" s="72"/>
      <c r="J626" s="72" t="s">
        <v>159</v>
      </c>
      <c r="K626" s="71" t="s">
        <v>3054</v>
      </c>
      <c r="L626" s="75">
        <v>1</v>
      </c>
      <c r="M626" s="76">
        <v>2451.533203125</v>
      </c>
      <c r="N626" s="76">
        <v>3734.382568359375</v>
      </c>
      <c r="O626" s="77"/>
      <c r="P626" s="78"/>
      <c r="Q626" s="78"/>
      <c r="R626" s="90"/>
      <c r="S626" s="49">
        <v>0</v>
      </c>
      <c r="T626" s="49">
        <v>1</v>
      </c>
      <c r="U626" s="50">
        <v>0</v>
      </c>
      <c r="V626" s="50">
        <v>0.231785</v>
      </c>
      <c r="W626" s="51"/>
      <c r="X626" s="51"/>
      <c r="Y626" s="51"/>
      <c r="Z626" s="50"/>
      <c r="AA626" s="73">
        <v>626</v>
      </c>
      <c r="AB626" s="73"/>
      <c r="AC626" s="74"/>
      <c r="AD626" s="81" t="s">
        <v>3054</v>
      </c>
      <c r="AE626" s="81"/>
      <c r="AF626" s="81"/>
      <c r="AG626" s="81"/>
      <c r="AH626" s="81"/>
      <c r="AI626" s="81" t="s">
        <v>2288</v>
      </c>
      <c r="AJ626" s="88">
        <v>42048.278229166666</v>
      </c>
      <c r="AK626" s="86" t="str">
        <f>HYPERLINK("https://yt3.ggpht.com/ytc/AIf8zZTDyVpHGPDUOBF2AyS7_mwGYWsUrKvdKn5jcN-F2S0=s88-c-k-c0x00ffffff-no-rj")</f>
        <v>https://yt3.ggpht.com/ytc/AIf8zZTDyVpHGPDUOBF2AyS7_mwGYWsUrKvdKn5jcN-F2S0=s88-c-k-c0x00ffffff-no-rj</v>
      </c>
      <c r="AL626" s="81">
        <v>0</v>
      </c>
      <c r="AM626" s="81">
        <v>0</v>
      </c>
      <c r="AN626" s="81">
        <v>1</v>
      </c>
      <c r="AO626" s="81" t="b">
        <v>0</v>
      </c>
      <c r="AP626" s="81">
        <v>0</v>
      </c>
      <c r="AQ626" s="81"/>
      <c r="AR626" s="81"/>
      <c r="AS626" s="81" t="s">
        <v>3378</v>
      </c>
      <c r="AT626" s="86" t="str">
        <f>HYPERLINK("https://www.youtube.com/channel/UC-XhcdTroF1MMz2GkGu73Iw")</f>
        <v>https://www.youtube.com/channel/UC-XhcdTroF1MMz2GkGu73Iw</v>
      </c>
      <c r="AU626" s="81" t="str">
        <f>REPLACE(INDEX(GroupVertices[Group],MATCH("~"&amp;Vertices[[#This Row],[Vertex]],GroupVertices[Vertex],0)),1,1,"")</f>
        <v>1</v>
      </c>
      <c r="AV626" s="49"/>
      <c r="AW626" s="49"/>
      <c r="AX626" s="49"/>
      <c r="AY626" s="49"/>
      <c r="AZ626" s="49"/>
      <c r="BA626" s="49"/>
      <c r="BB626" s="117" t="s">
        <v>2423</v>
      </c>
      <c r="BC626" s="117" t="s">
        <v>2423</v>
      </c>
      <c r="BD626" s="117" t="s">
        <v>2423</v>
      </c>
      <c r="BE626" s="117" t="s">
        <v>2423</v>
      </c>
      <c r="BF626" s="2"/>
      <c r="BG626" s="3"/>
      <c r="BH626" s="3"/>
      <c r="BI626" s="3"/>
      <c r="BJ626" s="3"/>
    </row>
    <row r="627" spans="1:62" ht="15">
      <c r="A627" s="66" t="s">
        <v>823</v>
      </c>
      <c r="B627" s="67"/>
      <c r="C627" s="67"/>
      <c r="D627" s="68">
        <v>50</v>
      </c>
      <c r="E627" s="70"/>
      <c r="F627" s="105" t="str">
        <f>HYPERLINK("https://yt3.ggpht.com/ytc/AIf8zZTmADDuqaGna1yjd1SmDYoEBrU-u6ogWkrAaA=s88-c-k-c0x00ffffff-no-rj")</f>
        <v>https://yt3.ggpht.com/ytc/AIf8zZTmADDuqaGna1yjd1SmDYoEBrU-u6ogWkrAaA=s88-c-k-c0x00ffffff-no-rj</v>
      </c>
      <c r="G627" s="67"/>
      <c r="H627" s="71" t="s">
        <v>3055</v>
      </c>
      <c r="I627" s="72"/>
      <c r="J627" s="72" t="s">
        <v>159</v>
      </c>
      <c r="K627" s="71" t="s">
        <v>3055</v>
      </c>
      <c r="L627" s="75">
        <v>1</v>
      </c>
      <c r="M627" s="76">
        <v>1656.730224609375</v>
      </c>
      <c r="N627" s="76">
        <v>3893.722900390625</v>
      </c>
      <c r="O627" s="77"/>
      <c r="P627" s="78"/>
      <c r="Q627" s="78"/>
      <c r="R627" s="90"/>
      <c r="S627" s="49">
        <v>0</v>
      </c>
      <c r="T627" s="49">
        <v>1</v>
      </c>
      <c r="U627" s="50">
        <v>0</v>
      </c>
      <c r="V627" s="50">
        <v>0.231785</v>
      </c>
      <c r="W627" s="51"/>
      <c r="X627" s="51"/>
      <c r="Y627" s="51"/>
      <c r="Z627" s="50"/>
      <c r="AA627" s="73">
        <v>627</v>
      </c>
      <c r="AB627" s="73"/>
      <c r="AC627" s="74"/>
      <c r="AD627" s="81" t="s">
        <v>3055</v>
      </c>
      <c r="AE627" s="81"/>
      <c r="AF627" s="81"/>
      <c r="AG627" s="81"/>
      <c r="AH627" s="81"/>
      <c r="AI627" s="81" t="s">
        <v>2289</v>
      </c>
      <c r="AJ627" s="88">
        <v>44101.987546296295</v>
      </c>
      <c r="AK627" s="86" t="str">
        <f>HYPERLINK("https://yt3.ggpht.com/ytc/AIf8zZTmADDuqaGna1yjd1SmDYoEBrU-u6ogWkrAaA=s88-c-k-c0x00ffffff-no-rj")</f>
        <v>https://yt3.ggpht.com/ytc/AIf8zZTmADDuqaGna1yjd1SmDYoEBrU-u6ogWkrAaA=s88-c-k-c0x00ffffff-no-rj</v>
      </c>
      <c r="AL627" s="81">
        <v>0</v>
      </c>
      <c r="AM627" s="81">
        <v>0</v>
      </c>
      <c r="AN627" s="81">
        <v>0</v>
      </c>
      <c r="AO627" s="81" t="b">
        <v>0</v>
      </c>
      <c r="AP627" s="81">
        <v>0</v>
      </c>
      <c r="AQ627" s="81"/>
      <c r="AR627" s="81"/>
      <c r="AS627" s="81" t="s">
        <v>3378</v>
      </c>
      <c r="AT627" s="86" t="str">
        <f>HYPERLINK("https://www.youtube.com/channel/UCPEVP-uzmM0V16IqY046Cug")</f>
        <v>https://www.youtube.com/channel/UCPEVP-uzmM0V16IqY046Cug</v>
      </c>
      <c r="AU627" s="81" t="str">
        <f>REPLACE(INDEX(GroupVertices[Group],MATCH("~"&amp;Vertices[[#This Row],[Vertex]],GroupVertices[Vertex],0)),1,1,"")</f>
        <v>1</v>
      </c>
      <c r="AV627" s="49"/>
      <c r="AW627" s="49"/>
      <c r="AX627" s="49"/>
      <c r="AY627" s="49"/>
      <c r="AZ627" s="49"/>
      <c r="BA627" s="49"/>
      <c r="BB627" s="117" t="s">
        <v>4284</v>
      </c>
      <c r="BC627" s="117" t="s">
        <v>4284</v>
      </c>
      <c r="BD627" s="117" t="s">
        <v>4966</v>
      </c>
      <c r="BE627" s="117" t="s">
        <v>4966</v>
      </c>
      <c r="BF627" s="2"/>
      <c r="BG627" s="3"/>
      <c r="BH627" s="3"/>
      <c r="BI627" s="3"/>
      <c r="BJ627" s="3"/>
    </row>
    <row r="628" spans="1:62" ht="15">
      <c r="A628" s="66" t="s">
        <v>824</v>
      </c>
      <c r="B628" s="67"/>
      <c r="C628" s="67"/>
      <c r="D628" s="68">
        <v>50</v>
      </c>
      <c r="E628" s="70"/>
      <c r="F628" s="105" t="str">
        <f>HYPERLINK("https://yt3.ggpht.com/ytc/AIf8zZSU-neQu8ywvSS9XNOuKHn0JX1F4Dxiug-5yXmi_YE=s88-c-k-c0x00ffffff-no-rj")</f>
        <v>https://yt3.ggpht.com/ytc/AIf8zZSU-neQu8ywvSS9XNOuKHn0JX1F4Dxiug-5yXmi_YE=s88-c-k-c0x00ffffff-no-rj</v>
      </c>
      <c r="G628" s="67"/>
      <c r="H628" s="71" t="s">
        <v>3056</v>
      </c>
      <c r="I628" s="72"/>
      <c r="J628" s="72" t="s">
        <v>159</v>
      </c>
      <c r="K628" s="71" t="s">
        <v>3056</v>
      </c>
      <c r="L628" s="75">
        <v>1</v>
      </c>
      <c r="M628" s="76">
        <v>180.4224853515625</v>
      </c>
      <c r="N628" s="76">
        <v>7267.48681640625</v>
      </c>
      <c r="O628" s="77"/>
      <c r="P628" s="78"/>
      <c r="Q628" s="78"/>
      <c r="R628" s="90"/>
      <c r="S628" s="49">
        <v>0</v>
      </c>
      <c r="T628" s="49">
        <v>1</v>
      </c>
      <c r="U628" s="50">
        <v>0</v>
      </c>
      <c r="V628" s="50">
        <v>0.231785</v>
      </c>
      <c r="W628" s="51"/>
      <c r="X628" s="51"/>
      <c r="Y628" s="51"/>
      <c r="Z628" s="50"/>
      <c r="AA628" s="73">
        <v>628</v>
      </c>
      <c r="AB628" s="73"/>
      <c r="AC628" s="74"/>
      <c r="AD628" s="81" t="s">
        <v>3056</v>
      </c>
      <c r="AE628" s="81"/>
      <c r="AF628" s="81"/>
      <c r="AG628" s="81"/>
      <c r="AH628" s="81"/>
      <c r="AI628" s="81" t="s">
        <v>3365</v>
      </c>
      <c r="AJ628" s="88">
        <v>40794.22814814815</v>
      </c>
      <c r="AK628" s="86" t="str">
        <f>HYPERLINK("https://yt3.ggpht.com/ytc/AIf8zZSU-neQu8ywvSS9XNOuKHn0JX1F4Dxiug-5yXmi_YE=s88-c-k-c0x00ffffff-no-rj")</f>
        <v>https://yt3.ggpht.com/ytc/AIf8zZSU-neQu8ywvSS9XNOuKHn0JX1F4Dxiug-5yXmi_YE=s88-c-k-c0x00ffffff-no-rj</v>
      </c>
      <c r="AL628" s="81">
        <v>0</v>
      </c>
      <c r="AM628" s="81">
        <v>0</v>
      </c>
      <c r="AN628" s="81">
        <v>267</v>
      </c>
      <c r="AO628" s="81" t="b">
        <v>0</v>
      </c>
      <c r="AP628" s="81">
        <v>0</v>
      </c>
      <c r="AQ628" s="81"/>
      <c r="AR628" s="81"/>
      <c r="AS628" s="81" t="s">
        <v>3378</v>
      </c>
      <c r="AT628" s="86" t="str">
        <f>HYPERLINK("https://www.youtube.com/channel/UCKnmXo8y0tUjLf-X6ye3spQ")</f>
        <v>https://www.youtube.com/channel/UCKnmXo8y0tUjLf-X6ye3spQ</v>
      </c>
      <c r="AU628" s="81" t="str">
        <f>REPLACE(INDEX(GroupVertices[Group],MATCH("~"&amp;Vertices[[#This Row],[Vertex]],GroupVertices[Vertex],0)),1,1,"")</f>
        <v>1</v>
      </c>
      <c r="AV628" s="49"/>
      <c r="AW628" s="49"/>
      <c r="AX628" s="49"/>
      <c r="AY628" s="49"/>
      <c r="AZ628" s="49"/>
      <c r="BA628" s="49"/>
      <c r="BB628" s="117" t="s">
        <v>4285</v>
      </c>
      <c r="BC628" s="117" t="s">
        <v>4285</v>
      </c>
      <c r="BD628" s="117" t="s">
        <v>4967</v>
      </c>
      <c r="BE628" s="117" t="s">
        <v>4967</v>
      </c>
      <c r="BF628" s="2"/>
      <c r="BG628" s="3"/>
      <c r="BH628" s="3"/>
      <c r="BI628" s="3"/>
      <c r="BJ628" s="3"/>
    </row>
    <row r="629" spans="1:62" ht="15">
      <c r="A629" s="66" t="s">
        <v>825</v>
      </c>
      <c r="B629" s="67"/>
      <c r="C629" s="67"/>
      <c r="D629" s="68">
        <v>50</v>
      </c>
      <c r="E629" s="70"/>
      <c r="F629" s="105" t="str">
        <f>HYPERLINK("https://yt3.ggpht.com/ytc/AIf8zZRzDkK-CGA-x089PJh_PenPIG3WnuqiYcARdu0lZQg=s88-c-k-c0x00ffffff-no-rj")</f>
        <v>https://yt3.ggpht.com/ytc/AIf8zZRzDkK-CGA-x089PJh_PenPIG3WnuqiYcARdu0lZQg=s88-c-k-c0x00ffffff-no-rj</v>
      </c>
      <c r="G629" s="67"/>
      <c r="H629" s="71" t="s">
        <v>3057</v>
      </c>
      <c r="I629" s="72"/>
      <c r="J629" s="72" t="s">
        <v>159</v>
      </c>
      <c r="K629" s="71" t="s">
        <v>3057</v>
      </c>
      <c r="L629" s="75">
        <v>1</v>
      </c>
      <c r="M629" s="76">
        <v>408.83056640625</v>
      </c>
      <c r="N629" s="76">
        <v>6126.98095703125</v>
      </c>
      <c r="O629" s="77"/>
      <c r="P629" s="78"/>
      <c r="Q629" s="78"/>
      <c r="R629" s="90"/>
      <c r="S629" s="49">
        <v>0</v>
      </c>
      <c r="T629" s="49">
        <v>1</v>
      </c>
      <c r="U629" s="50">
        <v>0</v>
      </c>
      <c r="V629" s="50">
        <v>0.231785</v>
      </c>
      <c r="W629" s="51"/>
      <c r="X629" s="51"/>
      <c r="Y629" s="51"/>
      <c r="Z629" s="50"/>
      <c r="AA629" s="73">
        <v>629</v>
      </c>
      <c r="AB629" s="73"/>
      <c r="AC629" s="74"/>
      <c r="AD629" s="81" t="s">
        <v>3057</v>
      </c>
      <c r="AE629" s="81"/>
      <c r="AF629" s="81"/>
      <c r="AG629" s="81"/>
      <c r="AH629" s="81"/>
      <c r="AI629" s="81" t="s">
        <v>3366</v>
      </c>
      <c r="AJ629" s="88">
        <v>39363.816979166666</v>
      </c>
      <c r="AK629" s="86" t="str">
        <f>HYPERLINK("https://yt3.ggpht.com/ytc/AIf8zZRzDkK-CGA-x089PJh_PenPIG3WnuqiYcARdu0lZQg=s88-c-k-c0x00ffffff-no-rj")</f>
        <v>https://yt3.ggpht.com/ytc/AIf8zZRzDkK-CGA-x089PJh_PenPIG3WnuqiYcARdu0lZQg=s88-c-k-c0x00ffffff-no-rj</v>
      </c>
      <c r="AL629" s="81">
        <v>0</v>
      </c>
      <c r="AM629" s="81">
        <v>0</v>
      </c>
      <c r="AN629" s="81">
        <v>4</v>
      </c>
      <c r="AO629" s="81" t="b">
        <v>0</v>
      </c>
      <c r="AP629" s="81">
        <v>0</v>
      </c>
      <c r="AQ629" s="81"/>
      <c r="AR629" s="81"/>
      <c r="AS629" s="81" t="s">
        <v>3378</v>
      </c>
      <c r="AT629" s="86" t="str">
        <f>HYPERLINK("https://www.youtube.com/channel/UCDbHJrZtsHVXVR_84nRe9Pw")</f>
        <v>https://www.youtube.com/channel/UCDbHJrZtsHVXVR_84nRe9Pw</v>
      </c>
      <c r="AU629" s="81" t="str">
        <f>REPLACE(INDEX(GroupVertices[Group],MATCH("~"&amp;Vertices[[#This Row],[Vertex]],GroupVertices[Vertex],0)),1,1,"")</f>
        <v>1</v>
      </c>
      <c r="AV629" s="49"/>
      <c r="AW629" s="49"/>
      <c r="AX629" s="49"/>
      <c r="AY629" s="49"/>
      <c r="AZ629" s="49"/>
      <c r="BA629" s="49"/>
      <c r="BB629" s="117" t="s">
        <v>4286</v>
      </c>
      <c r="BC629" s="117" t="s">
        <v>4286</v>
      </c>
      <c r="BD629" s="117" t="s">
        <v>4968</v>
      </c>
      <c r="BE629" s="117" t="s">
        <v>4968</v>
      </c>
      <c r="BF629" s="2"/>
      <c r="BG629" s="3"/>
      <c r="BH629" s="3"/>
      <c r="BI629" s="3"/>
      <c r="BJ629" s="3"/>
    </row>
    <row r="630" spans="1:62" ht="15">
      <c r="A630" s="66" t="s">
        <v>826</v>
      </c>
      <c r="B630" s="67"/>
      <c r="C630" s="67"/>
      <c r="D630" s="68">
        <v>50</v>
      </c>
      <c r="E630" s="70"/>
      <c r="F630" s="105" t="str">
        <f>HYPERLINK("https://yt3.ggpht.com/ytc/AIf8zZScqTVSNCCDBf-AQdoX_MiL4zxseQeU-a3ZAQ=s88-c-k-c0x00ffffff-no-rj")</f>
        <v>https://yt3.ggpht.com/ytc/AIf8zZScqTVSNCCDBf-AQdoX_MiL4zxseQeU-a3ZAQ=s88-c-k-c0x00ffffff-no-rj</v>
      </c>
      <c r="G630" s="67"/>
      <c r="H630" s="71" t="s">
        <v>3058</v>
      </c>
      <c r="I630" s="72"/>
      <c r="J630" s="72" t="s">
        <v>159</v>
      </c>
      <c r="K630" s="71" t="s">
        <v>3058</v>
      </c>
      <c r="L630" s="75">
        <v>1</v>
      </c>
      <c r="M630" s="76">
        <v>1172.904296875</v>
      </c>
      <c r="N630" s="76">
        <v>4538.9921875</v>
      </c>
      <c r="O630" s="77"/>
      <c r="P630" s="78"/>
      <c r="Q630" s="78"/>
      <c r="R630" s="90"/>
      <c r="S630" s="49">
        <v>0</v>
      </c>
      <c r="T630" s="49">
        <v>1</v>
      </c>
      <c r="U630" s="50">
        <v>0</v>
      </c>
      <c r="V630" s="50">
        <v>0.231785</v>
      </c>
      <c r="W630" s="51"/>
      <c r="X630" s="51"/>
      <c r="Y630" s="51"/>
      <c r="Z630" s="50"/>
      <c r="AA630" s="73">
        <v>630</v>
      </c>
      <c r="AB630" s="73"/>
      <c r="AC630" s="74"/>
      <c r="AD630" s="81" t="s">
        <v>3058</v>
      </c>
      <c r="AE630" s="81"/>
      <c r="AF630" s="81"/>
      <c r="AG630" s="81"/>
      <c r="AH630" s="81"/>
      <c r="AI630" s="81" t="s">
        <v>2292</v>
      </c>
      <c r="AJ630" s="88">
        <v>41457.324224537035</v>
      </c>
      <c r="AK630" s="86" t="str">
        <f>HYPERLINK("https://yt3.ggpht.com/ytc/AIf8zZScqTVSNCCDBf-AQdoX_MiL4zxseQeU-a3ZAQ=s88-c-k-c0x00ffffff-no-rj")</f>
        <v>https://yt3.ggpht.com/ytc/AIf8zZScqTVSNCCDBf-AQdoX_MiL4zxseQeU-a3ZAQ=s88-c-k-c0x00ffffff-no-rj</v>
      </c>
      <c r="AL630" s="81">
        <v>0</v>
      </c>
      <c r="AM630" s="81">
        <v>0</v>
      </c>
      <c r="AN630" s="81">
        <v>0</v>
      </c>
      <c r="AO630" s="81" t="b">
        <v>0</v>
      </c>
      <c r="AP630" s="81">
        <v>0</v>
      </c>
      <c r="AQ630" s="81"/>
      <c r="AR630" s="81"/>
      <c r="AS630" s="81" t="s">
        <v>3378</v>
      </c>
      <c r="AT630" s="86" t="str">
        <f>HYPERLINK("https://www.youtube.com/channel/UC_JQ298-Y2xunW2cRmABNfQ")</f>
        <v>https://www.youtube.com/channel/UC_JQ298-Y2xunW2cRmABNfQ</v>
      </c>
      <c r="AU630" s="81" t="str">
        <f>REPLACE(INDEX(GroupVertices[Group],MATCH("~"&amp;Vertices[[#This Row],[Vertex]],GroupVertices[Vertex],0)),1,1,"")</f>
        <v>1</v>
      </c>
      <c r="AV630" s="49"/>
      <c r="AW630" s="49"/>
      <c r="AX630" s="49"/>
      <c r="AY630" s="49"/>
      <c r="AZ630" s="49"/>
      <c r="BA630" s="49"/>
      <c r="BB630" s="117" t="s">
        <v>4287</v>
      </c>
      <c r="BC630" s="117" t="s">
        <v>4287</v>
      </c>
      <c r="BD630" s="117" t="s">
        <v>4969</v>
      </c>
      <c r="BE630" s="117" t="s">
        <v>4969</v>
      </c>
      <c r="BF630" s="2"/>
      <c r="BG630" s="3"/>
      <c r="BH630" s="3"/>
      <c r="BI630" s="3"/>
      <c r="BJ630" s="3"/>
    </row>
    <row r="631" spans="1:62" ht="15">
      <c r="A631" s="66" t="s">
        <v>827</v>
      </c>
      <c r="B631" s="67"/>
      <c r="C631" s="67"/>
      <c r="D631" s="68">
        <v>50</v>
      </c>
      <c r="E631" s="70"/>
      <c r="F631" s="105" t="str">
        <f>HYPERLINK("https://yt3.ggpht.com/ytc/AIf8zZSEGheD6ftS71Fb5DjxgTGbBuLI1TmHV3kXBHPNew=s88-c-k-c0x00ffffff-no-rj")</f>
        <v>https://yt3.ggpht.com/ytc/AIf8zZSEGheD6ftS71Fb5DjxgTGbBuLI1TmHV3kXBHPNew=s88-c-k-c0x00ffffff-no-rj</v>
      </c>
      <c r="G631" s="67"/>
      <c r="H631" s="71" t="s">
        <v>3059</v>
      </c>
      <c r="I631" s="72"/>
      <c r="J631" s="72" t="s">
        <v>159</v>
      </c>
      <c r="K631" s="71" t="s">
        <v>3059</v>
      </c>
      <c r="L631" s="75">
        <v>1</v>
      </c>
      <c r="M631" s="76">
        <v>1733.6676025390625</v>
      </c>
      <c r="N631" s="76">
        <v>7510.45458984375</v>
      </c>
      <c r="O631" s="77"/>
      <c r="P631" s="78"/>
      <c r="Q631" s="78"/>
      <c r="R631" s="90"/>
      <c r="S631" s="49">
        <v>0</v>
      </c>
      <c r="T631" s="49">
        <v>1</v>
      </c>
      <c r="U631" s="50">
        <v>0</v>
      </c>
      <c r="V631" s="50">
        <v>0.231785</v>
      </c>
      <c r="W631" s="51"/>
      <c r="X631" s="51"/>
      <c r="Y631" s="51"/>
      <c r="Z631" s="50"/>
      <c r="AA631" s="73">
        <v>631</v>
      </c>
      <c r="AB631" s="73"/>
      <c r="AC631" s="74"/>
      <c r="AD631" s="81" t="s">
        <v>3059</v>
      </c>
      <c r="AE631" s="81"/>
      <c r="AF631" s="81"/>
      <c r="AG631" s="81"/>
      <c r="AH631" s="81"/>
      <c r="AI631" s="81" t="s">
        <v>2293</v>
      </c>
      <c r="AJ631" s="88">
        <v>41694.244050925925</v>
      </c>
      <c r="AK631" s="86" t="str">
        <f>HYPERLINK("https://yt3.ggpht.com/ytc/AIf8zZSEGheD6ftS71Fb5DjxgTGbBuLI1TmHV3kXBHPNew=s88-c-k-c0x00ffffff-no-rj")</f>
        <v>https://yt3.ggpht.com/ytc/AIf8zZSEGheD6ftS71Fb5DjxgTGbBuLI1TmHV3kXBHPNew=s88-c-k-c0x00ffffff-no-rj</v>
      </c>
      <c r="AL631" s="81">
        <v>0</v>
      </c>
      <c r="AM631" s="81">
        <v>0</v>
      </c>
      <c r="AN631" s="81">
        <v>0</v>
      </c>
      <c r="AO631" s="81" t="b">
        <v>0</v>
      </c>
      <c r="AP631" s="81">
        <v>0</v>
      </c>
      <c r="AQ631" s="81"/>
      <c r="AR631" s="81"/>
      <c r="AS631" s="81" t="s">
        <v>3378</v>
      </c>
      <c r="AT631" s="86" t="str">
        <f>HYPERLINK("https://www.youtube.com/channel/UC8AfGlF22Ph5u7R6Q17L7Yg")</f>
        <v>https://www.youtube.com/channel/UC8AfGlF22Ph5u7R6Q17L7Yg</v>
      </c>
      <c r="AU631" s="81" t="str">
        <f>REPLACE(INDEX(GroupVertices[Group],MATCH("~"&amp;Vertices[[#This Row],[Vertex]],GroupVertices[Vertex],0)),1,1,"")</f>
        <v>1</v>
      </c>
      <c r="AV631" s="49"/>
      <c r="AW631" s="49"/>
      <c r="AX631" s="49"/>
      <c r="AY631" s="49"/>
      <c r="AZ631" s="49"/>
      <c r="BA631" s="49"/>
      <c r="BB631" s="117" t="s">
        <v>4288</v>
      </c>
      <c r="BC631" s="117" t="s">
        <v>4288</v>
      </c>
      <c r="BD631" s="117" t="s">
        <v>4970</v>
      </c>
      <c r="BE631" s="117" t="s">
        <v>4970</v>
      </c>
      <c r="BF631" s="2"/>
      <c r="BG631" s="3"/>
      <c r="BH631" s="3"/>
      <c r="BI631" s="3"/>
      <c r="BJ631" s="3"/>
    </row>
    <row r="632" spans="1:62" ht="15">
      <c r="A632" s="66" t="s">
        <v>828</v>
      </c>
      <c r="B632" s="67"/>
      <c r="C632" s="67"/>
      <c r="D632" s="68">
        <v>50</v>
      </c>
      <c r="E632" s="70"/>
      <c r="F632" s="105" t="str">
        <f>HYPERLINK("https://yt3.ggpht.com/0h2x7cKPTO_N16CD-5N_tFv2GhsvBL1Q9Al0gMMP2D0r7NQ4qQjdLQV8gQcF--G_kwgtafnR=s88-c-k-c0x00ffffff-no-rj")</f>
        <v>https://yt3.ggpht.com/0h2x7cKPTO_N16CD-5N_tFv2GhsvBL1Q9Al0gMMP2D0r7NQ4qQjdLQV8gQcF--G_kwgtafnR=s88-c-k-c0x00ffffff-no-rj</v>
      </c>
      <c r="G632" s="67"/>
      <c r="H632" s="71" t="s">
        <v>3060</v>
      </c>
      <c r="I632" s="72"/>
      <c r="J632" s="72" t="s">
        <v>159</v>
      </c>
      <c r="K632" s="71" t="s">
        <v>3060</v>
      </c>
      <c r="L632" s="75">
        <v>1</v>
      </c>
      <c r="M632" s="76">
        <v>2127.770263671875</v>
      </c>
      <c r="N632" s="76">
        <v>4359.22802734375</v>
      </c>
      <c r="O632" s="77"/>
      <c r="P632" s="78"/>
      <c r="Q632" s="78"/>
      <c r="R632" s="90"/>
      <c r="S632" s="49">
        <v>0</v>
      </c>
      <c r="T632" s="49">
        <v>1</v>
      </c>
      <c r="U632" s="50">
        <v>0</v>
      </c>
      <c r="V632" s="50">
        <v>0.231785</v>
      </c>
      <c r="W632" s="51"/>
      <c r="X632" s="51"/>
      <c r="Y632" s="51"/>
      <c r="Z632" s="50"/>
      <c r="AA632" s="73">
        <v>632</v>
      </c>
      <c r="AB632" s="73"/>
      <c r="AC632" s="74"/>
      <c r="AD632" s="81" t="s">
        <v>3060</v>
      </c>
      <c r="AE632" s="81"/>
      <c r="AF632" s="81"/>
      <c r="AG632" s="81"/>
      <c r="AH632" s="81"/>
      <c r="AI632" s="81" t="s">
        <v>2294</v>
      </c>
      <c r="AJ632" s="88">
        <v>44695.118622685186</v>
      </c>
      <c r="AK632" s="86" t="str">
        <f>HYPERLINK("https://yt3.ggpht.com/0h2x7cKPTO_N16CD-5N_tFv2GhsvBL1Q9Al0gMMP2D0r7NQ4qQjdLQV8gQcF--G_kwgtafnR=s88-c-k-c0x00ffffff-no-rj")</f>
        <v>https://yt3.ggpht.com/0h2x7cKPTO_N16CD-5N_tFv2GhsvBL1Q9Al0gMMP2D0r7NQ4qQjdLQV8gQcF--G_kwgtafnR=s88-c-k-c0x00ffffff-no-rj</v>
      </c>
      <c r="AL632" s="81">
        <v>0</v>
      </c>
      <c r="AM632" s="81">
        <v>0</v>
      </c>
      <c r="AN632" s="81">
        <v>0</v>
      </c>
      <c r="AO632" s="81" t="b">
        <v>0</v>
      </c>
      <c r="AP632" s="81">
        <v>0</v>
      </c>
      <c r="AQ632" s="81"/>
      <c r="AR632" s="81"/>
      <c r="AS632" s="81" t="s">
        <v>3378</v>
      </c>
      <c r="AT632" s="86" t="str">
        <f>HYPERLINK("https://www.youtube.com/channel/UCxaLTsG-SgW5PIr35qfimzw")</f>
        <v>https://www.youtube.com/channel/UCxaLTsG-SgW5PIr35qfimzw</v>
      </c>
      <c r="AU632" s="81" t="str">
        <f>REPLACE(INDEX(GroupVertices[Group],MATCH("~"&amp;Vertices[[#This Row],[Vertex]],GroupVertices[Vertex],0)),1,1,"")</f>
        <v>1</v>
      </c>
      <c r="AV632" s="49"/>
      <c r="AW632" s="49"/>
      <c r="AX632" s="49"/>
      <c r="AY632" s="49"/>
      <c r="AZ632" s="49"/>
      <c r="BA632" s="49"/>
      <c r="BB632" s="117" t="s">
        <v>4289</v>
      </c>
      <c r="BC632" s="117" t="s">
        <v>4289</v>
      </c>
      <c r="BD632" s="117" t="s">
        <v>4971</v>
      </c>
      <c r="BE632" s="117" t="s">
        <v>4971</v>
      </c>
      <c r="BF632" s="2"/>
      <c r="BG632" s="3"/>
      <c r="BH632" s="3"/>
      <c r="BI632" s="3"/>
      <c r="BJ632" s="3"/>
    </row>
    <row r="633" spans="1:62" ht="15">
      <c r="A633" s="66" t="s">
        <v>829</v>
      </c>
      <c r="B633" s="67"/>
      <c r="C633" s="67"/>
      <c r="D633" s="68">
        <v>50</v>
      </c>
      <c r="E633" s="70"/>
      <c r="F633" s="105" t="str">
        <f>HYPERLINK("https://yt3.ggpht.com/ytc/AIf8zZRfp8e3MQB4wG5wKK5bgGemiYmnmf-RVS-OFQ=s88-c-k-c0x00ffffff-no-rj")</f>
        <v>https://yt3.ggpht.com/ytc/AIf8zZRfp8e3MQB4wG5wKK5bgGemiYmnmf-RVS-OFQ=s88-c-k-c0x00ffffff-no-rj</v>
      </c>
      <c r="G633" s="67"/>
      <c r="H633" s="71" t="s">
        <v>3061</v>
      </c>
      <c r="I633" s="72"/>
      <c r="J633" s="72" t="s">
        <v>159</v>
      </c>
      <c r="K633" s="71" t="s">
        <v>3061</v>
      </c>
      <c r="L633" s="75">
        <v>1</v>
      </c>
      <c r="M633" s="76">
        <v>1677.479736328125</v>
      </c>
      <c r="N633" s="76">
        <v>5532.255859375</v>
      </c>
      <c r="O633" s="77"/>
      <c r="P633" s="78"/>
      <c r="Q633" s="78"/>
      <c r="R633" s="90"/>
      <c r="S633" s="49">
        <v>0</v>
      </c>
      <c r="T633" s="49">
        <v>1</v>
      </c>
      <c r="U633" s="50">
        <v>0</v>
      </c>
      <c r="V633" s="50">
        <v>0.231785</v>
      </c>
      <c r="W633" s="51"/>
      <c r="X633" s="51"/>
      <c r="Y633" s="51"/>
      <c r="Z633" s="50"/>
      <c r="AA633" s="73">
        <v>633</v>
      </c>
      <c r="AB633" s="73"/>
      <c r="AC633" s="74"/>
      <c r="AD633" s="81" t="s">
        <v>3061</v>
      </c>
      <c r="AE633" s="81"/>
      <c r="AF633" s="81"/>
      <c r="AG633" s="81"/>
      <c r="AH633" s="81"/>
      <c r="AI633" s="81" t="s">
        <v>2295</v>
      </c>
      <c r="AJ633" s="88">
        <v>40841.124768518515</v>
      </c>
      <c r="AK633" s="86" t="str">
        <f>HYPERLINK("https://yt3.ggpht.com/ytc/AIf8zZRfp8e3MQB4wG5wKK5bgGemiYmnmf-RVS-OFQ=s88-c-k-c0x00ffffff-no-rj")</f>
        <v>https://yt3.ggpht.com/ytc/AIf8zZRfp8e3MQB4wG5wKK5bgGemiYmnmf-RVS-OFQ=s88-c-k-c0x00ffffff-no-rj</v>
      </c>
      <c r="AL633" s="81">
        <v>0</v>
      </c>
      <c r="AM633" s="81">
        <v>0</v>
      </c>
      <c r="AN633" s="81">
        <v>0</v>
      </c>
      <c r="AO633" s="81" t="b">
        <v>0</v>
      </c>
      <c r="AP633" s="81">
        <v>0</v>
      </c>
      <c r="AQ633" s="81"/>
      <c r="AR633" s="81"/>
      <c r="AS633" s="81" t="s">
        <v>3378</v>
      </c>
      <c r="AT633" s="86" t="str">
        <f>HYPERLINK("https://www.youtube.com/channel/UCydtmTmj5L7ITeG5PPaid3g")</f>
        <v>https://www.youtube.com/channel/UCydtmTmj5L7ITeG5PPaid3g</v>
      </c>
      <c r="AU633" s="81" t="str">
        <f>REPLACE(INDEX(GroupVertices[Group],MATCH("~"&amp;Vertices[[#This Row],[Vertex]],GroupVertices[Vertex],0)),1,1,"")</f>
        <v>1</v>
      </c>
      <c r="AV633" s="49"/>
      <c r="AW633" s="49"/>
      <c r="AX633" s="49"/>
      <c r="AY633" s="49"/>
      <c r="AZ633" s="49"/>
      <c r="BA633" s="49"/>
      <c r="BB633" s="117" t="s">
        <v>4290</v>
      </c>
      <c r="BC633" s="117" t="s">
        <v>4290</v>
      </c>
      <c r="BD633" s="117" t="s">
        <v>4972</v>
      </c>
      <c r="BE633" s="117" t="s">
        <v>4972</v>
      </c>
      <c r="BF633" s="2"/>
      <c r="BG633" s="3"/>
      <c r="BH633" s="3"/>
      <c r="BI633" s="3"/>
      <c r="BJ633" s="3"/>
    </row>
    <row r="634" spans="1:62" ht="15">
      <c r="A634" s="66" t="s">
        <v>830</v>
      </c>
      <c r="B634" s="67"/>
      <c r="C634" s="67"/>
      <c r="D634" s="68">
        <v>50</v>
      </c>
      <c r="E634" s="70"/>
      <c r="F634" s="105" t="str">
        <f>HYPERLINK("https://yt3.ggpht.com/ytc/AIf8zZQmPDRT4sK-YhPFiFAe5IjCkwDekhlg4mzWrg=s88-c-k-c0x00ffffff-no-rj")</f>
        <v>https://yt3.ggpht.com/ytc/AIf8zZQmPDRT4sK-YhPFiFAe5IjCkwDekhlg4mzWrg=s88-c-k-c0x00ffffff-no-rj</v>
      </c>
      <c r="G634" s="67"/>
      <c r="H634" s="71" t="s">
        <v>3062</v>
      </c>
      <c r="I634" s="72"/>
      <c r="J634" s="72" t="s">
        <v>159</v>
      </c>
      <c r="K634" s="71" t="s">
        <v>3062</v>
      </c>
      <c r="L634" s="75">
        <v>1</v>
      </c>
      <c r="M634" s="76">
        <v>2312.772705078125</v>
      </c>
      <c r="N634" s="76">
        <v>9555.9697265625</v>
      </c>
      <c r="O634" s="77"/>
      <c r="P634" s="78"/>
      <c r="Q634" s="78"/>
      <c r="R634" s="90"/>
      <c r="S634" s="49">
        <v>0</v>
      </c>
      <c r="T634" s="49">
        <v>1</v>
      </c>
      <c r="U634" s="50">
        <v>0</v>
      </c>
      <c r="V634" s="50">
        <v>0.231785</v>
      </c>
      <c r="W634" s="51"/>
      <c r="X634" s="51"/>
      <c r="Y634" s="51"/>
      <c r="Z634" s="50"/>
      <c r="AA634" s="73">
        <v>634</v>
      </c>
      <c r="AB634" s="73"/>
      <c r="AC634" s="74"/>
      <c r="AD634" s="81" t="s">
        <v>3062</v>
      </c>
      <c r="AE634" s="81"/>
      <c r="AF634" s="81"/>
      <c r="AG634" s="81"/>
      <c r="AH634" s="81"/>
      <c r="AI634" s="81" t="s">
        <v>2296</v>
      </c>
      <c r="AJ634" s="88">
        <v>43838.66033564815</v>
      </c>
      <c r="AK634" s="86" t="str">
        <f>HYPERLINK("https://yt3.ggpht.com/ytc/AIf8zZQmPDRT4sK-YhPFiFAe5IjCkwDekhlg4mzWrg=s88-c-k-c0x00ffffff-no-rj")</f>
        <v>https://yt3.ggpht.com/ytc/AIf8zZQmPDRT4sK-YhPFiFAe5IjCkwDekhlg4mzWrg=s88-c-k-c0x00ffffff-no-rj</v>
      </c>
      <c r="AL634" s="81">
        <v>0</v>
      </c>
      <c r="AM634" s="81">
        <v>0</v>
      </c>
      <c r="AN634" s="81">
        <v>0</v>
      </c>
      <c r="AO634" s="81" t="b">
        <v>0</v>
      </c>
      <c r="AP634" s="81">
        <v>0</v>
      </c>
      <c r="AQ634" s="81"/>
      <c r="AR634" s="81"/>
      <c r="AS634" s="81" t="s">
        <v>3378</v>
      </c>
      <c r="AT634" s="86" t="str">
        <f>HYPERLINK("https://www.youtube.com/channel/UC2dB5XbOTNjjDBG9Ei4clPQ")</f>
        <v>https://www.youtube.com/channel/UC2dB5XbOTNjjDBG9Ei4clPQ</v>
      </c>
      <c r="AU634" s="81" t="str">
        <f>REPLACE(INDEX(GroupVertices[Group],MATCH("~"&amp;Vertices[[#This Row],[Vertex]],GroupVertices[Vertex],0)),1,1,"")</f>
        <v>1</v>
      </c>
      <c r="AV634" s="49"/>
      <c r="AW634" s="49"/>
      <c r="AX634" s="49"/>
      <c r="AY634" s="49"/>
      <c r="AZ634" s="49"/>
      <c r="BA634" s="49"/>
      <c r="BB634" s="117" t="s">
        <v>4291</v>
      </c>
      <c r="BC634" s="117" t="s">
        <v>4291</v>
      </c>
      <c r="BD634" s="117" t="s">
        <v>4973</v>
      </c>
      <c r="BE634" s="117" t="s">
        <v>4973</v>
      </c>
      <c r="BF634" s="2"/>
      <c r="BG634" s="3"/>
      <c r="BH634" s="3"/>
      <c r="BI634" s="3"/>
      <c r="BJ634" s="3"/>
    </row>
    <row r="635" spans="1:62" ht="15">
      <c r="A635" s="66" t="s">
        <v>831</v>
      </c>
      <c r="B635" s="67"/>
      <c r="C635" s="67"/>
      <c r="D635" s="68">
        <v>50</v>
      </c>
      <c r="E635" s="70"/>
      <c r="F635" s="105" t="str">
        <f>HYPERLINK("https://yt3.ggpht.com/FeVktCDqQv0A4R06VYdGZEAK43kc6KfynRaaLHLqh7KNcCrkuolDqIqsmLSTy5nAdUP8469HSg=s88-c-k-c0x00ffffff-no-rj")</f>
        <v>https://yt3.ggpht.com/FeVktCDqQv0A4R06VYdGZEAK43kc6KfynRaaLHLqh7KNcCrkuolDqIqsmLSTy5nAdUP8469HSg=s88-c-k-c0x00ffffff-no-rj</v>
      </c>
      <c r="G635" s="67"/>
      <c r="H635" s="71" t="s">
        <v>3063</v>
      </c>
      <c r="I635" s="72"/>
      <c r="J635" s="72" t="s">
        <v>159</v>
      </c>
      <c r="K635" s="71" t="s">
        <v>3063</v>
      </c>
      <c r="L635" s="75">
        <v>1</v>
      </c>
      <c r="M635" s="76">
        <v>3158.13330078125</v>
      </c>
      <c r="N635" s="76">
        <v>5645.3232421875</v>
      </c>
      <c r="O635" s="77"/>
      <c r="P635" s="78"/>
      <c r="Q635" s="78"/>
      <c r="R635" s="90"/>
      <c r="S635" s="49">
        <v>0</v>
      </c>
      <c r="T635" s="49">
        <v>1</v>
      </c>
      <c r="U635" s="50">
        <v>0</v>
      </c>
      <c r="V635" s="50">
        <v>0.231785</v>
      </c>
      <c r="W635" s="51"/>
      <c r="X635" s="51"/>
      <c r="Y635" s="51"/>
      <c r="Z635" s="50"/>
      <c r="AA635" s="73">
        <v>635</v>
      </c>
      <c r="AB635" s="73"/>
      <c r="AC635" s="74"/>
      <c r="AD635" s="81" t="s">
        <v>3063</v>
      </c>
      <c r="AE635" s="81" t="s">
        <v>3219</v>
      </c>
      <c r="AF635" s="81"/>
      <c r="AG635" s="81"/>
      <c r="AH635" s="81"/>
      <c r="AI635" s="81" t="s">
        <v>3367</v>
      </c>
      <c r="AJ635" s="88">
        <v>44983.91444444445</v>
      </c>
      <c r="AK635" s="86" t="str">
        <f>HYPERLINK("https://yt3.ggpht.com/FeVktCDqQv0A4R06VYdGZEAK43kc6KfynRaaLHLqh7KNcCrkuolDqIqsmLSTy5nAdUP8469HSg=s88-c-k-c0x00ffffff-no-rj")</f>
        <v>https://yt3.ggpht.com/FeVktCDqQv0A4R06VYdGZEAK43kc6KfynRaaLHLqh7KNcCrkuolDqIqsmLSTy5nAdUP8469HSg=s88-c-k-c0x00ffffff-no-rj</v>
      </c>
      <c r="AL635" s="81">
        <v>102882</v>
      </c>
      <c r="AM635" s="81">
        <v>0</v>
      </c>
      <c r="AN635" s="81">
        <v>204</v>
      </c>
      <c r="AO635" s="81" t="b">
        <v>0</v>
      </c>
      <c r="AP635" s="81">
        <v>80</v>
      </c>
      <c r="AQ635" s="81"/>
      <c r="AR635" s="81"/>
      <c r="AS635" s="81" t="s">
        <v>3378</v>
      </c>
      <c r="AT635" s="86" t="str">
        <f>HYPERLINK("https://www.youtube.com/channel/UChC5YX4GzOVNXTb0FdN4yDg")</f>
        <v>https://www.youtube.com/channel/UChC5YX4GzOVNXTb0FdN4yDg</v>
      </c>
      <c r="AU635" s="81" t="str">
        <f>REPLACE(INDEX(GroupVertices[Group],MATCH("~"&amp;Vertices[[#This Row],[Vertex]],GroupVertices[Vertex],0)),1,1,"")</f>
        <v>1</v>
      </c>
      <c r="AV635" s="49"/>
      <c r="AW635" s="49"/>
      <c r="AX635" s="49"/>
      <c r="AY635" s="49"/>
      <c r="AZ635" s="49"/>
      <c r="BA635" s="49"/>
      <c r="BB635" s="117" t="s">
        <v>4292</v>
      </c>
      <c r="BC635" s="117" t="s">
        <v>4381</v>
      </c>
      <c r="BD635" s="117" t="s">
        <v>4974</v>
      </c>
      <c r="BE635" s="117" t="s">
        <v>4974</v>
      </c>
      <c r="BF635" s="2"/>
      <c r="BG635" s="3"/>
      <c r="BH635" s="3"/>
      <c r="BI635" s="3"/>
      <c r="BJ635" s="3"/>
    </row>
    <row r="636" spans="1:62" ht="15">
      <c r="A636" s="66" t="s">
        <v>832</v>
      </c>
      <c r="B636" s="67"/>
      <c r="C636" s="67"/>
      <c r="D636" s="68">
        <v>50</v>
      </c>
      <c r="E636" s="70"/>
      <c r="F636" s="105" t="str">
        <f>HYPERLINK("https://yt3.ggpht.com/ytc/AIf8zZTmN5xTZW6-AJniCKzcrydvSUs4C9_aG6nTOLdd_g=s88-c-k-c0x00ffffff-no-rj")</f>
        <v>https://yt3.ggpht.com/ytc/AIf8zZTmN5xTZW6-AJniCKzcrydvSUs4C9_aG6nTOLdd_g=s88-c-k-c0x00ffffff-no-rj</v>
      </c>
      <c r="G636" s="67"/>
      <c r="H636" s="71" t="s">
        <v>3064</v>
      </c>
      <c r="I636" s="72"/>
      <c r="J636" s="72" t="s">
        <v>159</v>
      </c>
      <c r="K636" s="71" t="s">
        <v>3064</v>
      </c>
      <c r="L636" s="75">
        <v>1</v>
      </c>
      <c r="M636" s="76">
        <v>569.5615844726562</v>
      </c>
      <c r="N636" s="76">
        <v>8407.875</v>
      </c>
      <c r="O636" s="77"/>
      <c r="P636" s="78"/>
      <c r="Q636" s="78"/>
      <c r="R636" s="90"/>
      <c r="S636" s="49">
        <v>0</v>
      </c>
      <c r="T636" s="49">
        <v>1</v>
      </c>
      <c r="U636" s="50">
        <v>0</v>
      </c>
      <c r="V636" s="50">
        <v>0.231785</v>
      </c>
      <c r="W636" s="51"/>
      <c r="X636" s="51"/>
      <c r="Y636" s="51"/>
      <c r="Z636" s="50"/>
      <c r="AA636" s="73">
        <v>636</v>
      </c>
      <c r="AB636" s="73"/>
      <c r="AC636" s="74"/>
      <c r="AD636" s="81" t="s">
        <v>3064</v>
      </c>
      <c r="AE636" s="81"/>
      <c r="AF636" s="81"/>
      <c r="AG636" s="81"/>
      <c r="AH636" s="81"/>
      <c r="AI636" s="81" t="s">
        <v>2298</v>
      </c>
      <c r="AJ636" s="88">
        <v>41228.307546296295</v>
      </c>
      <c r="AK636" s="86" t="str">
        <f>HYPERLINK("https://yt3.ggpht.com/ytc/AIf8zZTmN5xTZW6-AJniCKzcrydvSUs4C9_aG6nTOLdd_g=s88-c-k-c0x00ffffff-no-rj")</f>
        <v>https://yt3.ggpht.com/ytc/AIf8zZTmN5xTZW6-AJniCKzcrydvSUs4C9_aG6nTOLdd_g=s88-c-k-c0x00ffffff-no-rj</v>
      </c>
      <c r="AL636" s="81">
        <v>0</v>
      </c>
      <c r="AM636" s="81">
        <v>0</v>
      </c>
      <c r="AN636" s="81">
        <v>0</v>
      </c>
      <c r="AO636" s="81" t="b">
        <v>0</v>
      </c>
      <c r="AP636" s="81">
        <v>0</v>
      </c>
      <c r="AQ636" s="81"/>
      <c r="AR636" s="81"/>
      <c r="AS636" s="81" t="s">
        <v>3378</v>
      </c>
      <c r="AT636" s="86" t="str">
        <f>HYPERLINK("https://www.youtube.com/channel/UCKuALA3rXsyIAFyKZp7L_ew")</f>
        <v>https://www.youtube.com/channel/UCKuALA3rXsyIAFyKZp7L_ew</v>
      </c>
      <c r="AU636" s="81" t="str">
        <f>REPLACE(INDEX(GroupVertices[Group],MATCH("~"&amp;Vertices[[#This Row],[Vertex]],GroupVertices[Vertex],0)),1,1,"")</f>
        <v>1</v>
      </c>
      <c r="AV636" s="49" t="s">
        <v>3448</v>
      </c>
      <c r="AW636" s="49" t="s">
        <v>3448</v>
      </c>
      <c r="AX636" s="49" t="s">
        <v>3524</v>
      </c>
      <c r="AY636" s="49" t="s">
        <v>3524</v>
      </c>
      <c r="AZ636" s="49"/>
      <c r="BA636" s="49"/>
      <c r="BB636" s="117" t="s">
        <v>4293</v>
      </c>
      <c r="BC636" s="117" t="s">
        <v>4382</v>
      </c>
      <c r="BD636" s="117" t="s">
        <v>4975</v>
      </c>
      <c r="BE636" s="117" t="s">
        <v>5045</v>
      </c>
      <c r="BF636" s="2"/>
      <c r="BG636" s="3"/>
      <c r="BH636" s="3"/>
      <c r="BI636" s="3"/>
      <c r="BJ636" s="3"/>
    </row>
    <row r="637" spans="1:62" ht="15">
      <c r="A637" s="66" t="s">
        <v>833</v>
      </c>
      <c r="B637" s="67"/>
      <c r="C637" s="67"/>
      <c r="D637" s="68">
        <v>50</v>
      </c>
      <c r="E637" s="70"/>
      <c r="F637" s="105" t="str">
        <f>HYPERLINK("https://yt3.ggpht.com/ytc/AIf8zZSDapByjbmsbk4Rwkoo8YQWUNKNSOuMXeV3gswr=s88-c-k-c0x00ffffff-no-rj")</f>
        <v>https://yt3.ggpht.com/ytc/AIf8zZSDapByjbmsbk4Rwkoo8YQWUNKNSOuMXeV3gswr=s88-c-k-c0x00ffffff-no-rj</v>
      </c>
      <c r="G637" s="67"/>
      <c r="H637" s="71" t="s">
        <v>3065</v>
      </c>
      <c r="I637" s="72"/>
      <c r="J637" s="72" t="s">
        <v>159</v>
      </c>
      <c r="K637" s="71" t="s">
        <v>3065</v>
      </c>
      <c r="L637" s="75">
        <v>1</v>
      </c>
      <c r="M637" s="76">
        <v>736.9791870117188</v>
      </c>
      <c r="N637" s="76">
        <v>4607.77685546875</v>
      </c>
      <c r="O637" s="77"/>
      <c r="P637" s="78"/>
      <c r="Q637" s="78"/>
      <c r="R637" s="90"/>
      <c r="S637" s="49">
        <v>0</v>
      </c>
      <c r="T637" s="49">
        <v>1</v>
      </c>
      <c r="U637" s="50">
        <v>0</v>
      </c>
      <c r="V637" s="50">
        <v>0.231785</v>
      </c>
      <c r="W637" s="51"/>
      <c r="X637" s="51"/>
      <c r="Y637" s="51"/>
      <c r="Z637" s="50"/>
      <c r="AA637" s="73">
        <v>637</v>
      </c>
      <c r="AB637" s="73"/>
      <c r="AC637" s="74"/>
      <c r="AD637" s="81" t="s">
        <v>3065</v>
      </c>
      <c r="AE637" s="81"/>
      <c r="AF637" s="81"/>
      <c r="AG637" s="81"/>
      <c r="AH637" s="81"/>
      <c r="AI637" s="81" t="s">
        <v>2299</v>
      </c>
      <c r="AJ637" s="88">
        <v>43996.351122685184</v>
      </c>
      <c r="AK637" s="86" t="str">
        <f>HYPERLINK("https://yt3.ggpht.com/ytc/AIf8zZSDapByjbmsbk4Rwkoo8YQWUNKNSOuMXeV3gswr=s88-c-k-c0x00ffffff-no-rj")</f>
        <v>https://yt3.ggpht.com/ytc/AIf8zZSDapByjbmsbk4Rwkoo8YQWUNKNSOuMXeV3gswr=s88-c-k-c0x00ffffff-no-rj</v>
      </c>
      <c r="AL637" s="81">
        <v>0</v>
      </c>
      <c r="AM637" s="81">
        <v>0</v>
      </c>
      <c r="AN637" s="81">
        <v>0</v>
      </c>
      <c r="AO637" s="81" t="b">
        <v>0</v>
      </c>
      <c r="AP637" s="81">
        <v>0</v>
      </c>
      <c r="AQ637" s="81"/>
      <c r="AR637" s="81"/>
      <c r="AS637" s="81" t="s">
        <v>3378</v>
      </c>
      <c r="AT637" s="86" t="str">
        <f>HYPERLINK("https://www.youtube.com/channel/UCrpXDjwmMWvV61EVxbdCwXQ")</f>
        <v>https://www.youtube.com/channel/UCrpXDjwmMWvV61EVxbdCwXQ</v>
      </c>
      <c r="AU637" s="81" t="str">
        <f>REPLACE(INDEX(GroupVertices[Group],MATCH("~"&amp;Vertices[[#This Row],[Vertex]],GroupVertices[Vertex],0)),1,1,"")</f>
        <v>1</v>
      </c>
      <c r="AV637" s="49"/>
      <c r="AW637" s="49"/>
      <c r="AX637" s="49"/>
      <c r="AY637" s="49"/>
      <c r="AZ637" s="49"/>
      <c r="BA637" s="49"/>
      <c r="BB637" s="117" t="s">
        <v>4294</v>
      </c>
      <c r="BC637" s="117" t="s">
        <v>4294</v>
      </c>
      <c r="BD637" s="117" t="s">
        <v>4976</v>
      </c>
      <c r="BE637" s="117" t="s">
        <v>4976</v>
      </c>
      <c r="BF637" s="2"/>
      <c r="BG637" s="3"/>
      <c r="BH637" s="3"/>
      <c r="BI637" s="3"/>
      <c r="BJ637" s="3"/>
    </row>
    <row r="638" spans="1:62" ht="15">
      <c r="A638" s="66" t="s">
        <v>834</v>
      </c>
      <c r="B638" s="67"/>
      <c r="C638" s="67"/>
      <c r="D638" s="68">
        <v>50</v>
      </c>
      <c r="E638" s="70"/>
      <c r="F638" s="105" t="str">
        <f>HYPERLINK("https://yt3.ggpht.com/ytc/AIf8zZSGFgJ9yA2l74aNUj7ufQ_oCirDqi_oDaT9KZMD=s88-c-k-c0x00ffffff-no-rj")</f>
        <v>https://yt3.ggpht.com/ytc/AIf8zZSGFgJ9yA2l74aNUj7ufQ_oCirDqi_oDaT9KZMD=s88-c-k-c0x00ffffff-no-rj</v>
      </c>
      <c r="G638" s="67"/>
      <c r="H638" s="71" t="s">
        <v>3066</v>
      </c>
      <c r="I638" s="72"/>
      <c r="J638" s="72" t="s">
        <v>159</v>
      </c>
      <c r="K638" s="71" t="s">
        <v>3066</v>
      </c>
      <c r="L638" s="75">
        <v>1</v>
      </c>
      <c r="M638" s="76">
        <v>400.6966552734375</v>
      </c>
      <c r="N638" s="76">
        <v>5057.67041015625</v>
      </c>
      <c r="O638" s="77"/>
      <c r="P638" s="78"/>
      <c r="Q638" s="78"/>
      <c r="R638" s="90"/>
      <c r="S638" s="49">
        <v>0</v>
      </c>
      <c r="T638" s="49">
        <v>1</v>
      </c>
      <c r="U638" s="50">
        <v>0</v>
      </c>
      <c r="V638" s="50">
        <v>0.231785</v>
      </c>
      <c r="W638" s="51"/>
      <c r="X638" s="51"/>
      <c r="Y638" s="51"/>
      <c r="Z638" s="50"/>
      <c r="AA638" s="73">
        <v>638</v>
      </c>
      <c r="AB638" s="73"/>
      <c r="AC638" s="74"/>
      <c r="AD638" s="81" t="s">
        <v>3066</v>
      </c>
      <c r="AE638" s="81"/>
      <c r="AF638" s="81"/>
      <c r="AG638" s="81"/>
      <c r="AH638" s="81"/>
      <c r="AI638" s="81" t="s">
        <v>2300</v>
      </c>
      <c r="AJ638" s="88">
        <v>41395.97127314815</v>
      </c>
      <c r="AK638" s="86" t="str">
        <f>HYPERLINK("https://yt3.ggpht.com/ytc/AIf8zZSGFgJ9yA2l74aNUj7ufQ_oCirDqi_oDaT9KZMD=s88-c-k-c0x00ffffff-no-rj")</f>
        <v>https://yt3.ggpht.com/ytc/AIf8zZSGFgJ9yA2l74aNUj7ufQ_oCirDqi_oDaT9KZMD=s88-c-k-c0x00ffffff-no-rj</v>
      </c>
      <c r="AL638" s="81">
        <v>46</v>
      </c>
      <c r="AM638" s="81">
        <v>0</v>
      </c>
      <c r="AN638" s="81">
        <v>0</v>
      </c>
      <c r="AO638" s="81" t="b">
        <v>0</v>
      </c>
      <c r="AP638" s="81">
        <v>4</v>
      </c>
      <c r="AQ638" s="81"/>
      <c r="AR638" s="81"/>
      <c r="AS638" s="81" t="s">
        <v>3378</v>
      </c>
      <c r="AT638" s="86" t="str">
        <f>HYPERLINK("https://www.youtube.com/channel/UCx0EejgZKNO6QbXHaZ8h0Dg")</f>
        <v>https://www.youtube.com/channel/UCx0EejgZKNO6QbXHaZ8h0Dg</v>
      </c>
      <c r="AU638" s="81" t="str">
        <f>REPLACE(INDEX(GroupVertices[Group],MATCH("~"&amp;Vertices[[#This Row],[Vertex]],GroupVertices[Vertex],0)),1,1,"")</f>
        <v>1</v>
      </c>
      <c r="AV638" s="49"/>
      <c r="AW638" s="49"/>
      <c r="AX638" s="49"/>
      <c r="AY638" s="49"/>
      <c r="AZ638" s="49"/>
      <c r="BA638" s="49"/>
      <c r="BB638" s="117" t="s">
        <v>4295</v>
      </c>
      <c r="BC638" s="117" t="s">
        <v>4295</v>
      </c>
      <c r="BD638" s="117" t="s">
        <v>4977</v>
      </c>
      <c r="BE638" s="117" t="s">
        <v>4977</v>
      </c>
      <c r="BF638" s="2"/>
      <c r="BG638" s="3"/>
      <c r="BH638" s="3"/>
      <c r="BI638" s="3"/>
      <c r="BJ638" s="3"/>
    </row>
    <row r="639" spans="1:62" ht="15">
      <c r="A639" s="66" t="s">
        <v>835</v>
      </c>
      <c r="B639" s="67"/>
      <c r="C639" s="67"/>
      <c r="D639" s="68">
        <v>50</v>
      </c>
      <c r="E639" s="70"/>
      <c r="F639" s="105" t="str">
        <f>HYPERLINK("https://yt3.ggpht.com/ytc/AIf8zZQw8mWCIsa4_DtgcJpqHEj05PZeYecE_e1YWg=s88-c-k-c0x00ffffff-no-rj")</f>
        <v>https://yt3.ggpht.com/ytc/AIf8zZQw8mWCIsa4_DtgcJpqHEj05PZeYecE_e1YWg=s88-c-k-c0x00ffffff-no-rj</v>
      </c>
      <c r="G639" s="67"/>
      <c r="H639" s="71" t="s">
        <v>3067</v>
      </c>
      <c r="I639" s="72"/>
      <c r="J639" s="72" t="s">
        <v>159</v>
      </c>
      <c r="K639" s="71" t="s">
        <v>3067</v>
      </c>
      <c r="L639" s="75">
        <v>1</v>
      </c>
      <c r="M639" s="76">
        <v>1463.74609375</v>
      </c>
      <c r="N639" s="76">
        <v>6877.775390625</v>
      </c>
      <c r="O639" s="77"/>
      <c r="P639" s="78"/>
      <c r="Q639" s="78"/>
      <c r="R639" s="90"/>
      <c r="S639" s="49">
        <v>0</v>
      </c>
      <c r="T639" s="49">
        <v>1</v>
      </c>
      <c r="U639" s="50">
        <v>0</v>
      </c>
      <c r="V639" s="50">
        <v>0.231785</v>
      </c>
      <c r="W639" s="51"/>
      <c r="X639" s="51"/>
      <c r="Y639" s="51"/>
      <c r="Z639" s="50"/>
      <c r="AA639" s="73">
        <v>639</v>
      </c>
      <c r="AB639" s="73"/>
      <c r="AC639" s="74"/>
      <c r="AD639" s="81" t="s">
        <v>3067</v>
      </c>
      <c r="AE639" s="81"/>
      <c r="AF639" s="81"/>
      <c r="AG639" s="81"/>
      <c r="AH639" s="81"/>
      <c r="AI639" s="81" t="s">
        <v>2301</v>
      </c>
      <c r="AJ639" s="88">
        <v>40535.32219907407</v>
      </c>
      <c r="AK639" s="86" t="str">
        <f>HYPERLINK("https://yt3.ggpht.com/ytc/AIf8zZQw8mWCIsa4_DtgcJpqHEj05PZeYecE_e1YWg=s88-c-k-c0x00ffffff-no-rj")</f>
        <v>https://yt3.ggpht.com/ytc/AIf8zZQw8mWCIsa4_DtgcJpqHEj05PZeYecE_e1YWg=s88-c-k-c0x00ffffff-no-rj</v>
      </c>
      <c r="AL639" s="81">
        <v>0</v>
      </c>
      <c r="AM639" s="81">
        <v>0</v>
      </c>
      <c r="AN639" s="81">
        <v>0</v>
      </c>
      <c r="AO639" s="81" t="b">
        <v>0</v>
      </c>
      <c r="AP639" s="81">
        <v>0</v>
      </c>
      <c r="AQ639" s="81"/>
      <c r="AR639" s="81"/>
      <c r="AS639" s="81" t="s">
        <v>3378</v>
      </c>
      <c r="AT639" s="86" t="str">
        <f>HYPERLINK("https://www.youtube.com/channel/UCRdRqoh6R4sfS3KoHypCYCA")</f>
        <v>https://www.youtube.com/channel/UCRdRqoh6R4sfS3KoHypCYCA</v>
      </c>
      <c r="AU639" s="81" t="str">
        <f>REPLACE(INDEX(GroupVertices[Group],MATCH("~"&amp;Vertices[[#This Row],[Vertex]],GroupVertices[Vertex],0)),1,1,"")</f>
        <v>1</v>
      </c>
      <c r="AV639" s="49"/>
      <c r="AW639" s="49"/>
      <c r="AX639" s="49"/>
      <c r="AY639" s="49"/>
      <c r="AZ639" s="49"/>
      <c r="BA639" s="49"/>
      <c r="BB639" s="117" t="s">
        <v>3925</v>
      </c>
      <c r="BC639" s="117" t="s">
        <v>3925</v>
      </c>
      <c r="BD639" s="117" t="s">
        <v>2423</v>
      </c>
      <c r="BE639" s="117" t="s">
        <v>2423</v>
      </c>
      <c r="BF639" s="2"/>
      <c r="BG639" s="3"/>
      <c r="BH639" s="3"/>
      <c r="BI639" s="3"/>
      <c r="BJ639" s="3"/>
    </row>
    <row r="640" spans="1:62" ht="15">
      <c r="A640" s="66" t="s">
        <v>836</v>
      </c>
      <c r="B640" s="67"/>
      <c r="C640" s="67"/>
      <c r="D640" s="68">
        <v>50</v>
      </c>
      <c r="E640" s="70"/>
      <c r="F640" s="105" t="str">
        <f>HYPERLINK("https://yt3.ggpht.com/ytc/AIf8zZTNW0_ArCLIZ8ofL-Pu1gz5-N4zOF_b0_nz2w=s88-c-k-c0x00ffffff-no-rj")</f>
        <v>https://yt3.ggpht.com/ytc/AIf8zZTNW0_ArCLIZ8ofL-Pu1gz5-N4zOF_b0_nz2w=s88-c-k-c0x00ffffff-no-rj</v>
      </c>
      <c r="G640" s="67"/>
      <c r="H640" s="71" t="s">
        <v>3068</v>
      </c>
      <c r="I640" s="72"/>
      <c r="J640" s="72" t="s">
        <v>159</v>
      </c>
      <c r="K640" s="71" t="s">
        <v>3068</v>
      </c>
      <c r="L640" s="75">
        <v>1</v>
      </c>
      <c r="M640" s="76">
        <v>633.3636474609375</v>
      </c>
      <c r="N640" s="76">
        <v>4727.26220703125</v>
      </c>
      <c r="O640" s="77"/>
      <c r="P640" s="78"/>
      <c r="Q640" s="78"/>
      <c r="R640" s="90"/>
      <c r="S640" s="49">
        <v>0</v>
      </c>
      <c r="T640" s="49">
        <v>1</v>
      </c>
      <c r="U640" s="50">
        <v>0</v>
      </c>
      <c r="V640" s="50">
        <v>0.231785</v>
      </c>
      <c r="W640" s="51"/>
      <c r="X640" s="51"/>
      <c r="Y640" s="51"/>
      <c r="Z640" s="50"/>
      <c r="AA640" s="73">
        <v>640</v>
      </c>
      <c r="AB640" s="73"/>
      <c r="AC640" s="74"/>
      <c r="AD640" s="81" t="s">
        <v>3068</v>
      </c>
      <c r="AE640" s="81"/>
      <c r="AF640" s="81"/>
      <c r="AG640" s="81"/>
      <c r="AH640" s="81"/>
      <c r="AI640" s="81" t="s">
        <v>2302</v>
      </c>
      <c r="AJ640" s="88">
        <v>41056.81903935185</v>
      </c>
      <c r="AK640" s="86" t="str">
        <f>HYPERLINK("https://yt3.ggpht.com/ytc/AIf8zZTNW0_ArCLIZ8ofL-Pu1gz5-N4zOF_b0_nz2w=s88-c-k-c0x00ffffff-no-rj")</f>
        <v>https://yt3.ggpht.com/ytc/AIf8zZTNW0_ArCLIZ8ofL-Pu1gz5-N4zOF_b0_nz2w=s88-c-k-c0x00ffffff-no-rj</v>
      </c>
      <c r="AL640" s="81">
        <v>0</v>
      </c>
      <c r="AM640" s="81">
        <v>0</v>
      </c>
      <c r="AN640" s="81">
        <v>2</v>
      </c>
      <c r="AO640" s="81" t="b">
        <v>0</v>
      </c>
      <c r="AP640" s="81">
        <v>0</v>
      </c>
      <c r="AQ640" s="81"/>
      <c r="AR640" s="81"/>
      <c r="AS640" s="81" t="s">
        <v>3378</v>
      </c>
      <c r="AT640" s="86" t="str">
        <f>HYPERLINK("https://www.youtube.com/channel/UCnFTAS-VWbm7meRN3thQyRg")</f>
        <v>https://www.youtube.com/channel/UCnFTAS-VWbm7meRN3thQyRg</v>
      </c>
      <c r="AU640" s="81" t="str">
        <f>REPLACE(INDEX(GroupVertices[Group],MATCH("~"&amp;Vertices[[#This Row],[Vertex]],GroupVertices[Vertex],0)),1,1,"")</f>
        <v>1</v>
      </c>
      <c r="AV640" s="49"/>
      <c r="AW640" s="49"/>
      <c r="AX640" s="49"/>
      <c r="AY640" s="49"/>
      <c r="AZ640" s="49"/>
      <c r="BA640" s="49"/>
      <c r="BB640" s="117" t="s">
        <v>4296</v>
      </c>
      <c r="BC640" s="117" t="s">
        <v>4296</v>
      </c>
      <c r="BD640" s="117" t="s">
        <v>4978</v>
      </c>
      <c r="BE640" s="117" t="s">
        <v>4978</v>
      </c>
      <c r="BF640" s="2"/>
      <c r="BG640" s="3"/>
      <c r="BH640" s="3"/>
      <c r="BI640" s="3"/>
      <c r="BJ640" s="3"/>
    </row>
    <row r="641" spans="1:62" ht="15">
      <c r="A641" s="66" t="s">
        <v>838</v>
      </c>
      <c r="B641" s="67"/>
      <c r="C641" s="67"/>
      <c r="D641" s="68">
        <v>50</v>
      </c>
      <c r="E641" s="70"/>
      <c r="F641" s="105" t="str">
        <f>HYPERLINK("https://yt3.ggpht.com/ytc/AIf8zZR3-R7MEChj2u3PJ579Tmb-qzFXI-e-r6OsFQ=s88-c-k-c0x00ffffff-no-rj")</f>
        <v>https://yt3.ggpht.com/ytc/AIf8zZR3-R7MEChj2u3PJ579Tmb-qzFXI-e-r6OsFQ=s88-c-k-c0x00ffffff-no-rj</v>
      </c>
      <c r="G641" s="67"/>
      <c r="H641" s="71" t="s">
        <v>3070</v>
      </c>
      <c r="I641" s="72"/>
      <c r="J641" s="72" t="s">
        <v>159</v>
      </c>
      <c r="K641" s="71" t="s">
        <v>3070</v>
      </c>
      <c r="L641" s="75">
        <v>1</v>
      </c>
      <c r="M641" s="76">
        <v>2891.956298828125</v>
      </c>
      <c r="N641" s="76">
        <v>4160.9287109375</v>
      </c>
      <c r="O641" s="77"/>
      <c r="P641" s="78"/>
      <c r="Q641" s="78"/>
      <c r="R641" s="90"/>
      <c r="S641" s="49">
        <v>0</v>
      </c>
      <c r="T641" s="49">
        <v>1</v>
      </c>
      <c r="U641" s="50">
        <v>0</v>
      </c>
      <c r="V641" s="50">
        <v>0.231785</v>
      </c>
      <c r="W641" s="51"/>
      <c r="X641" s="51"/>
      <c r="Y641" s="51"/>
      <c r="Z641" s="50"/>
      <c r="AA641" s="73">
        <v>641</v>
      </c>
      <c r="AB641" s="73"/>
      <c r="AC641" s="74"/>
      <c r="AD641" s="81" t="s">
        <v>3070</v>
      </c>
      <c r="AE641" s="81"/>
      <c r="AF641" s="81"/>
      <c r="AG641" s="81"/>
      <c r="AH641" s="81"/>
      <c r="AI641" s="81" t="s">
        <v>2304</v>
      </c>
      <c r="AJ641" s="88">
        <v>40984.88964120371</v>
      </c>
      <c r="AK641" s="86" t="str">
        <f>HYPERLINK("https://yt3.ggpht.com/ytc/AIf8zZR3-R7MEChj2u3PJ579Tmb-qzFXI-e-r6OsFQ=s88-c-k-c0x00ffffff-no-rj")</f>
        <v>https://yt3.ggpht.com/ytc/AIf8zZR3-R7MEChj2u3PJ579Tmb-qzFXI-e-r6OsFQ=s88-c-k-c0x00ffffff-no-rj</v>
      </c>
      <c r="AL641" s="81">
        <v>0</v>
      </c>
      <c r="AM641" s="81">
        <v>0</v>
      </c>
      <c r="AN641" s="81">
        <v>5</v>
      </c>
      <c r="AO641" s="81" t="b">
        <v>0</v>
      </c>
      <c r="AP641" s="81">
        <v>0</v>
      </c>
      <c r="AQ641" s="81"/>
      <c r="AR641" s="81"/>
      <c r="AS641" s="81" t="s">
        <v>3378</v>
      </c>
      <c r="AT641" s="86" t="str">
        <f>HYPERLINK("https://www.youtube.com/channel/UCNqJg82UUprbX2BnKMJLXZQ")</f>
        <v>https://www.youtube.com/channel/UCNqJg82UUprbX2BnKMJLXZQ</v>
      </c>
      <c r="AU641" s="81" t="str">
        <f>REPLACE(INDEX(GroupVertices[Group],MATCH("~"&amp;Vertices[[#This Row],[Vertex]],GroupVertices[Vertex],0)),1,1,"")</f>
        <v>1</v>
      </c>
      <c r="AV641" s="49"/>
      <c r="AW641" s="49"/>
      <c r="AX641" s="49"/>
      <c r="AY641" s="49"/>
      <c r="AZ641" s="49"/>
      <c r="BA641" s="49"/>
      <c r="BB641" s="117" t="s">
        <v>4298</v>
      </c>
      <c r="BC641" s="117" t="s">
        <v>4298</v>
      </c>
      <c r="BD641" s="117" t="s">
        <v>4980</v>
      </c>
      <c r="BE641" s="117" t="s">
        <v>4980</v>
      </c>
      <c r="BF641" s="2"/>
      <c r="BG641" s="3"/>
      <c r="BH641" s="3"/>
      <c r="BI641" s="3"/>
      <c r="BJ641" s="3"/>
    </row>
    <row r="642" spans="1:62" ht="15">
      <c r="A642" s="66" t="s">
        <v>839</v>
      </c>
      <c r="B642" s="67"/>
      <c r="C642" s="67"/>
      <c r="D642" s="68">
        <v>50</v>
      </c>
      <c r="E642" s="70"/>
      <c r="F642" s="105" t="str">
        <f>HYPERLINK("https://yt3.ggpht.com/ytc/AIf8zZSIll0TiWCArlCkkgnLcwIk9RwhEndAXKjybVafAg=s88-c-k-c0x00ffffff-no-rj")</f>
        <v>https://yt3.ggpht.com/ytc/AIf8zZSIll0TiWCArlCkkgnLcwIk9RwhEndAXKjybVafAg=s88-c-k-c0x00ffffff-no-rj</v>
      </c>
      <c r="G642" s="67"/>
      <c r="H642" s="71" t="s">
        <v>3071</v>
      </c>
      <c r="I642" s="72"/>
      <c r="J642" s="72" t="s">
        <v>159</v>
      </c>
      <c r="K642" s="71" t="s">
        <v>3071</v>
      </c>
      <c r="L642" s="75">
        <v>1</v>
      </c>
      <c r="M642" s="76">
        <v>937.5234985351562</v>
      </c>
      <c r="N642" s="76">
        <v>9295.1396484375</v>
      </c>
      <c r="O642" s="77"/>
      <c r="P642" s="78"/>
      <c r="Q642" s="78"/>
      <c r="R642" s="90"/>
      <c r="S642" s="49">
        <v>0</v>
      </c>
      <c r="T642" s="49">
        <v>1</v>
      </c>
      <c r="U642" s="50">
        <v>0</v>
      </c>
      <c r="V642" s="50">
        <v>0.231785</v>
      </c>
      <c r="W642" s="51"/>
      <c r="X642" s="51"/>
      <c r="Y642" s="51"/>
      <c r="Z642" s="50"/>
      <c r="AA642" s="73">
        <v>642</v>
      </c>
      <c r="AB642" s="73"/>
      <c r="AC642" s="74"/>
      <c r="AD642" s="81" t="s">
        <v>3071</v>
      </c>
      <c r="AE642" s="81"/>
      <c r="AF642" s="81"/>
      <c r="AG642" s="81"/>
      <c r="AH642" s="81"/>
      <c r="AI642" s="81" t="s">
        <v>2305</v>
      </c>
      <c r="AJ642" s="88">
        <v>41842.07233796296</v>
      </c>
      <c r="AK642" s="86" t="str">
        <f>HYPERLINK("https://yt3.ggpht.com/ytc/AIf8zZSIll0TiWCArlCkkgnLcwIk9RwhEndAXKjybVafAg=s88-c-k-c0x00ffffff-no-rj")</f>
        <v>https://yt3.ggpht.com/ytc/AIf8zZSIll0TiWCArlCkkgnLcwIk9RwhEndAXKjybVafAg=s88-c-k-c0x00ffffff-no-rj</v>
      </c>
      <c r="AL642" s="81">
        <v>27</v>
      </c>
      <c r="AM642" s="81">
        <v>0</v>
      </c>
      <c r="AN642" s="81">
        <v>0</v>
      </c>
      <c r="AO642" s="81" t="b">
        <v>0</v>
      </c>
      <c r="AP642" s="81">
        <v>1</v>
      </c>
      <c r="AQ642" s="81"/>
      <c r="AR642" s="81"/>
      <c r="AS642" s="81" t="s">
        <v>3378</v>
      </c>
      <c r="AT642" s="86" t="str">
        <f>HYPERLINK("https://www.youtube.com/channel/UCNRxYxiJ71QzpM9leZifi4A")</f>
        <v>https://www.youtube.com/channel/UCNRxYxiJ71QzpM9leZifi4A</v>
      </c>
      <c r="AU642" s="81" t="str">
        <f>REPLACE(INDEX(GroupVertices[Group],MATCH("~"&amp;Vertices[[#This Row],[Vertex]],GroupVertices[Vertex],0)),1,1,"")</f>
        <v>1</v>
      </c>
      <c r="AV642" s="49" t="s">
        <v>3461</v>
      </c>
      <c r="AW642" s="49" t="s">
        <v>3461</v>
      </c>
      <c r="AX642" s="49" t="s">
        <v>2414</v>
      </c>
      <c r="AY642" s="49" t="s">
        <v>2414</v>
      </c>
      <c r="AZ642" s="49"/>
      <c r="BA642" s="49"/>
      <c r="BB642" s="117" t="s">
        <v>4299</v>
      </c>
      <c r="BC642" s="117" t="s">
        <v>4299</v>
      </c>
      <c r="BD642" s="117" t="s">
        <v>4981</v>
      </c>
      <c r="BE642" s="117" t="s">
        <v>4981</v>
      </c>
      <c r="BF642" s="2"/>
      <c r="BG642" s="3"/>
      <c r="BH642" s="3"/>
      <c r="BI642" s="3"/>
      <c r="BJ642" s="3"/>
    </row>
    <row r="643" spans="1:62" ht="15">
      <c r="A643" s="66" t="s">
        <v>840</v>
      </c>
      <c r="B643" s="67"/>
      <c r="C643" s="67"/>
      <c r="D643" s="68">
        <v>50</v>
      </c>
      <c r="E643" s="70"/>
      <c r="F643" s="105" t="str">
        <f>HYPERLINK("https://yt3.ggpht.com/ytc/AIf8zZQp3_kon8j0aJhcZKogL6-3Rx3qB4QmyFPhuYK1dgfC3KPKVhbWuKjAxD60JYG5=s88-c-k-c0x00ffffff-no-rj")</f>
        <v>https://yt3.ggpht.com/ytc/AIf8zZQp3_kon8j0aJhcZKogL6-3Rx3qB4QmyFPhuYK1dgfC3KPKVhbWuKjAxD60JYG5=s88-c-k-c0x00ffffff-no-rj</v>
      </c>
      <c r="G643" s="67"/>
      <c r="H643" s="71" t="s">
        <v>3072</v>
      </c>
      <c r="I643" s="72"/>
      <c r="J643" s="72" t="s">
        <v>159</v>
      </c>
      <c r="K643" s="71" t="s">
        <v>3072</v>
      </c>
      <c r="L643" s="75">
        <v>1</v>
      </c>
      <c r="M643" s="76">
        <v>1073.1727294921875</v>
      </c>
      <c r="N643" s="76">
        <v>9079.052734375</v>
      </c>
      <c r="O643" s="77"/>
      <c r="P643" s="78"/>
      <c r="Q643" s="78"/>
      <c r="R643" s="90"/>
      <c r="S643" s="49">
        <v>0</v>
      </c>
      <c r="T643" s="49">
        <v>1</v>
      </c>
      <c r="U643" s="50">
        <v>0</v>
      </c>
      <c r="V643" s="50">
        <v>0.231785</v>
      </c>
      <c r="W643" s="51"/>
      <c r="X643" s="51"/>
      <c r="Y643" s="51"/>
      <c r="Z643" s="50"/>
      <c r="AA643" s="73">
        <v>643</v>
      </c>
      <c r="AB643" s="73"/>
      <c r="AC643" s="74"/>
      <c r="AD643" s="81" t="s">
        <v>3072</v>
      </c>
      <c r="AE643" s="81"/>
      <c r="AF643" s="81"/>
      <c r="AG643" s="81"/>
      <c r="AH643" s="81"/>
      <c r="AI643" s="81" t="s">
        <v>2306</v>
      </c>
      <c r="AJ643" s="88">
        <v>41494.50806712963</v>
      </c>
      <c r="AK643" s="86" t="str">
        <f>HYPERLINK("https://yt3.ggpht.com/ytc/AIf8zZQp3_kon8j0aJhcZKogL6-3Rx3qB4QmyFPhuYK1dgfC3KPKVhbWuKjAxD60JYG5=s88-c-k-c0x00ffffff-no-rj")</f>
        <v>https://yt3.ggpht.com/ytc/AIf8zZQp3_kon8j0aJhcZKogL6-3Rx3qB4QmyFPhuYK1dgfC3KPKVhbWuKjAxD60JYG5=s88-c-k-c0x00ffffff-no-rj</v>
      </c>
      <c r="AL643" s="81">
        <v>0</v>
      </c>
      <c r="AM643" s="81">
        <v>0</v>
      </c>
      <c r="AN643" s="81">
        <v>0</v>
      </c>
      <c r="AO643" s="81" t="b">
        <v>0</v>
      </c>
      <c r="AP643" s="81">
        <v>0</v>
      </c>
      <c r="AQ643" s="81"/>
      <c r="AR643" s="81"/>
      <c r="AS643" s="81" t="s">
        <v>3378</v>
      </c>
      <c r="AT643" s="86" t="str">
        <f>HYPERLINK("https://www.youtube.com/channel/UC8r8-cyCSolioAwTpRF9k-A")</f>
        <v>https://www.youtube.com/channel/UC8r8-cyCSolioAwTpRF9k-A</v>
      </c>
      <c r="AU643" s="81" t="str">
        <f>REPLACE(INDEX(GroupVertices[Group],MATCH("~"&amp;Vertices[[#This Row],[Vertex]],GroupVertices[Vertex],0)),1,1,"")</f>
        <v>1</v>
      </c>
      <c r="AV643" s="49"/>
      <c r="AW643" s="49"/>
      <c r="AX643" s="49"/>
      <c r="AY643" s="49"/>
      <c r="AZ643" s="49"/>
      <c r="BA643" s="49"/>
      <c r="BB643" s="117" t="s">
        <v>4300</v>
      </c>
      <c r="BC643" s="117" t="s">
        <v>4300</v>
      </c>
      <c r="BD643" s="117" t="s">
        <v>4982</v>
      </c>
      <c r="BE643" s="117" t="s">
        <v>4982</v>
      </c>
      <c r="BF643" s="2"/>
      <c r="BG643" s="3"/>
      <c r="BH643" s="3"/>
      <c r="BI643" s="3"/>
      <c r="BJ643" s="3"/>
    </row>
    <row r="644" spans="1:62" ht="15">
      <c r="A644" s="66" t="s">
        <v>841</v>
      </c>
      <c r="B644" s="67"/>
      <c r="C644" s="67"/>
      <c r="D644" s="68">
        <v>50</v>
      </c>
      <c r="E644" s="70"/>
      <c r="F644" s="105" t="str">
        <f>HYPERLINK("https://yt3.ggpht.com/ytc/AIf8zZRLlkLo3H5mKLwd75JJ5OA3AGsQn3O4NrzV4w=s88-c-k-c0x00ffffff-no-rj")</f>
        <v>https://yt3.ggpht.com/ytc/AIf8zZRLlkLo3H5mKLwd75JJ5OA3AGsQn3O4NrzV4w=s88-c-k-c0x00ffffff-no-rj</v>
      </c>
      <c r="G644" s="67"/>
      <c r="H644" s="71" t="s">
        <v>3073</v>
      </c>
      <c r="I644" s="72"/>
      <c r="J644" s="72" t="s">
        <v>159</v>
      </c>
      <c r="K644" s="71" t="s">
        <v>3073</v>
      </c>
      <c r="L644" s="75">
        <v>1</v>
      </c>
      <c r="M644" s="76">
        <v>1228.02392578125</v>
      </c>
      <c r="N644" s="76">
        <v>9617.5146484375</v>
      </c>
      <c r="O644" s="77"/>
      <c r="P644" s="78"/>
      <c r="Q644" s="78"/>
      <c r="R644" s="90"/>
      <c r="S644" s="49">
        <v>0</v>
      </c>
      <c r="T644" s="49">
        <v>1</v>
      </c>
      <c r="U644" s="50">
        <v>0</v>
      </c>
      <c r="V644" s="50">
        <v>0.231785</v>
      </c>
      <c r="W644" s="51"/>
      <c r="X644" s="51"/>
      <c r="Y644" s="51"/>
      <c r="Z644" s="50"/>
      <c r="AA644" s="73">
        <v>644</v>
      </c>
      <c r="AB644" s="73"/>
      <c r="AC644" s="74"/>
      <c r="AD644" s="81" t="s">
        <v>3073</v>
      </c>
      <c r="AE644" s="81"/>
      <c r="AF644" s="81"/>
      <c r="AG644" s="81"/>
      <c r="AH644" s="81"/>
      <c r="AI644" s="81" t="s">
        <v>2307</v>
      </c>
      <c r="AJ644" s="88">
        <v>41596.87268518518</v>
      </c>
      <c r="AK644" s="86" t="str">
        <f>HYPERLINK("https://yt3.ggpht.com/ytc/AIf8zZRLlkLo3H5mKLwd75JJ5OA3AGsQn3O4NrzV4w=s88-c-k-c0x00ffffff-no-rj")</f>
        <v>https://yt3.ggpht.com/ytc/AIf8zZRLlkLo3H5mKLwd75JJ5OA3AGsQn3O4NrzV4w=s88-c-k-c0x00ffffff-no-rj</v>
      </c>
      <c r="AL644" s="81">
        <v>0</v>
      </c>
      <c r="AM644" s="81">
        <v>0</v>
      </c>
      <c r="AN644" s="81">
        <v>0</v>
      </c>
      <c r="AO644" s="81" t="b">
        <v>0</v>
      </c>
      <c r="AP644" s="81">
        <v>0</v>
      </c>
      <c r="AQ644" s="81"/>
      <c r="AR644" s="81"/>
      <c r="AS644" s="81" t="s">
        <v>3378</v>
      </c>
      <c r="AT644" s="86" t="str">
        <f>HYPERLINK("https://www.youtube.com/channel/UCe8yxzbkCon8fNaEY-NL7sA")</f>
        <v>https://www.youtube.com/channel/UCe8yxzbkCon8fNaEY-NL7sA</v>
      </c>
      <c r="AU644" s="81" t="str">
        <f>REPLACE(INDEX(GroupVertices[Group],MATCH("~"&amp;Vertices[[#This Row],[Vertex]],GroupVertices[Vertex],0)),1,1,"")</f>
        <v>1</v>
      </c>
      <c r="AV644" s="49"/>
      <c r="AW644" s="49"/>
      <c r="AX644" s="49"/>
      <c r="AY644" s="49"/>
      <c r="AZ644" s="49"/>
      <c r="BA644" s="49"/>
      <c r="BB644" s="117" t="s">
        <v>4301</v>
      </c>
      <c r="BC644" s="117" t="s">
        <v>4301</v>
      </c>
      <c r="BD644" s="117" t="s">
        <v>4983</v>
      </c>
      <c r="BE644" s="117" t="s">
        <v>4983</v>
      </c>
      <c r="BF644" s="2"/>
      <c r="BG644" s="3"/>
      <c r="BH644" s="3"/>
      <c r="BI644" s="3"/>
      <c r="BJ644" s="3"/>
    </row>
    <row r="645" spans="1:62" ht="15">
      <c r="A645" s="66" t="s">
        <v>842</v>
      </c>
      <c r="B645" s="67"/>
      <c r="C645" s="67"/>
      <c r="D645" s="68">
        <v>50</v>
      </c>
      <c r="E645" s="70"/>
      <c r="F645" s="105" t="str">
        <f>HYPERLINK("https://yt3.ggpht.com/ytc/AIf8zZSZbNu7hUjRxyAZcuUMjE4qwuUKOVRaE37106wt=s88-c-k-c0x00ffffff-no-rj")</f>
        <v>https://yt3.ggpht.com/ytc/AIf8zZSZbNu7hUjRxyAZcuUMjE4qwuUKOVRaE37106wt=s88-c-k-c0x00ffffff-no-rj</v>
      </c>
      <c r="G645" s="67"/>
      <c r="H645" s="71" t="s">
        <v>3074</v>
      </c>
      <c r="I645" s="72"/>
      <c r="J645" s="72" t="s">
        <v>159</v>
      </c>
      <c r="K645" s="71" t="s">
        <v>3074</v>
      </c>
      <c r="L645" s="75">
        <v>1</v>
      </c>
      <c r="M645" s="76">
        <v>471.35357666015625</v>
      </c>
      <c r="N645" s="76">
        <v>5770.591796875</v>
      </c>
      <c r="O645" s="77"/>
      <c r="P645" s="78"/>
      <c r="Q645" s="78"/>
      <c r="R645" s="90"/>
      <c r="S645" s="49">
        <v>0</v>
      </c>
      <c r="T645" s="49">
        <v>1</v>
      </c>
      <c r="U645" s="50">
        <v>0</v>
      </c>
      <c r="V645" s="50">
        <v>0.231785</v>
      </c>
      <c r="W645" s="51"/>
      <c r="X645" s="51"/>
      <c r="Y645" s="51"/>
      <c r="Z645" s="50"/>
      <c r="AA645" s="73">
        <v>645</v>
      </c>
      <c r="AB645" s="73"/>
      <c r="AC645" s="74"/>
      <c r="AD645" s="81" t="s">
        <v>3074</v>
      </c>
      <c r="AE645" s="81"/>
      <c r="AF645" s="81"/>
      <c r="AG645" s="81"/>
      <c r="AH645" s="81"/>
      <c r="AI645" s="81" t="s">
        <v>2308</v>
      </c>
      <c r="AJ645" s="88">
        <v>41231.8328125</v>
      </c>
      <c r="AK645" s="86" t="str">
        <f>HYPERLINK("https://yt3.ggpht.com/ytc/AIf8zZSZbNu7hUjRxyAZcuUMjE4qwuUKOVRaE37106wt=s88-c-k-c0x00ffffff-no-rj")</f>
        <v>https://yt3.ggpht.com/ytc/AIf8zZSZbNu7hUjRxyAZcuUMjE4qwuUKOVRaE37106wt=s88-c-k-c0x00ffffff-no-rj</v>
      </c>
      <c r="AL645" s="81">
        <v>2156</v>
      </c>
      <c r="AM645" s="81">
        <v>0</v>
      </c>
      <c r="AN645" s="81">
        <v>14</v>
      </c>
      <c r="AO645" s="81" t="b">
        <v>0</v>
      </c>
      <c r="AP645" s="81">
        <v>14</v>
      </c>
      <c r="AQ645" s="81"/>
      <c r="AR645" s="81"/>
      <c r="AS645" s="81" t="s">
        <v>3378</v>
      </c>
      <c r="AT645" s="86" t="str">
        <f>HYPERLINK("https://www.youtube.com/channel/UC6xfMGAIvvaMwAndwU1cqOQ")</f>
        <v>https://www.youtube.com/channel/UC6xfMGAIvvaMwAndwU1cqOQ</v>
      </c>
      <c r="AU645" s="81" t="str">
        <f>REPLACE(INDEX(GroupVertices[Group],MATCH("~"&amp;Vertices[[#This Row],[Vertex]],GroupVertices[Vertex],0)),1,1,"")</f>
        <v>1</v>
      </c>
      <c r="AV645" s="49"/>
      <c r="AW645" s="49"/>
      <c r="AX645" s="49"/>
      <c r="AY645" s="49"/>
      <c r="AZ645" s="49"/>
      <c r="BA645" s="49"/>
      <c r="BB645" s="117" t="s">
        <v>4302</v>
      </c>
      <c r="BC645" s="117" t="s">
        <v>4302</v>
      </c>
      <c r="BD645" s="117" t="s">
        <v>4984</v>
      </c>
      <c r="BE645" s="117" t="s">
        <v>4984</v>
      </c>
      <c r="BF645" s="2"/>
      <c r="BG645" s="3"/>
      <c r="BH645" s="3"/>
      <c r="BI645" s="3"/>
      <c r="BJ645" s="3"/>
    </row>
    <row r="646" spans="1:62" ht="15">
      <c r="A646" s="66" t="s">
        <v>843</v>
      </c>
      <c r="B646" s="67"/>
      <c r="C646" s="67"/>
      <c r="D646" s="68">
        <v>50</v>
      </c>
      <c r="E646" s="70"/>
      <c r="F646" s="105" t="str">
        <f>HYPERLINK("https://yt3.ggpht.com/ytc/AIf8zZRsB0ucWGfUp4Q1HHaj-K8vX4UJZjENArOlyakB-JeltRHPBuwXMLgpKOy3_Ysl=s88-c-k-c0x00ffffff-no-rj")</f>
        <v>https://yt3.ggpht.com/ytc/AIf8zZRsB0ucWGfUp4Q1HHaj-K8vX4UJZjENArOlyakB-JeltRHPBuwXMLgpKOy3_Ysl=s88-c-k-c0x00ffffff-no-rj</v>
      </c>
      <c r="G646" s="67"/>
      <c r="H646" s="71" t="s">
        <v>3075</v>
      </c>
      <c r="I646" s="72"/>
      <c r="J646" s="72" t="s">
        <v>159</v>
      </c>
      <c r="K646" s="71" t="s">
        <v>3075</v>
      </c>
      <c r="L646" s="75">
        <v>1</v>
      </c>
      <c r="M646" s="76">
        <v>3235.89990234375</v>
      </c>
      <c r="N646" s="76">
        <v>4323.455078125</v>
      </c>
      <c r="O646" s="77"/>
      <c r="P646" s="78"/>
      <c r="Q646" s="78"/>
      <c r="R646" s="90"/>
      <c r="S646" s="49">
        <v>0</v>
      </c>
      <c r="T646" s="49">
        <v>1</v>
      </c>
      <c r="U646" s="50">
        <v>0</v>
      </c>
      <c r="V646" s="50">
        <v>0.231785</v>
      </c>
      <c r="W646" s="51"/>
      <c r="X646" s="51"/>
      <c r="Y646" s="51"/>
      <c r="Z646" s="50"/>
      <c r="AA646" s="73">
        <v>646</v>
      </c>
      <c r="AB646" s="73"/>
      <c r="AC646" s="74"/>
      <c r="AD646" s="81" t="s">
        <v>3075</v>
      </c>
      <c r="AE646" s="81"/>
      <c r="AF646" s="81"/>
      <c r="AG646" s="81"/>
      <c r="AH646" s="81"/>
      <c r="AI646" s="81" t="s">
        <v>2309</v>
      </c>
      <c r="AJ646" s="88">
        <v>45202.12185185185</v>
      </c>
      <c r="AK646" s="86" t="str">
        <f>HYPERLINK("https://yt3.ggpht.com/ytc/AIf8zZRsB0ucWGfUp4Q1HHaj-K8vX4UJZjENArOlyakB-JeltRHPBuwXMLgpKOy3_Ysl=s88-c-k-c0x00ffffff-no-rj")</f>
        <v>https://yt3.ggpht.com/ytc/AIf8zZRsB0ucWGfUp4Q1HHaj-K8vX4UJZjENArOlyakB-JeltRHPBuwXMLgpKOy3_Ysl=s88-c-k-c0x00ffffff-no-rj</v>
      </c>
      <c r="AL646" s="81">
        <v>0</v>
      </c>
      <c r="AM646" s="81">
        <v>0</v>
      </c>
      <c r="AN646" s="81">
        <v>0</v>
      </c>
      <c r="AO646" s="81" t="b">
        <v>0</v>
      </c>
      <c r="AP646" s="81">
        <v>0</v>
      </c>
      <c r="AQ646" s="81"/>
      <c r="AR646" s="81"/>
      <c r="AS646" s="81" t="s">
        <v>3378</v>
      </c>
      <c r="AT646" s="86" t="str">
        <f>HYPERLINK("https://www.youtube.com/channel/UC5T1nPUb_KBoKUZX3X8-5ig")</f>
        <v>https://www.youtube.com/channel/UC5T1nPUb_KBoKUZX3X8-5ig</v>
      </c>
      <c r="AU646" s="81" t="str">
        <f>REPLACE(INDEX(GroupVertices[Group],MATCH("~"&amp;Vertices[[#This Row],[Vertex]],GroupVertices[Vertex],0)),1,1,"")</f>
        <v>1</v>
      </c>
      <c r="AV646" s="49"/>
      <c r="AW646" s="49"/>
      <c r="AX646" s="49"/>
      <c r="AY646" s="49"/>
      <c r="AZ646" s="49"/>
      <c r="BA646" s="49"/>
      <c r="BB646" s="117" t="s">
        <v>4303</v>
      </c>
      <c r="BC646" s="117" t="s">
        <v>4303</v>
      </c>
      <c r="BD646" s="117" t="s">
        <v>4985</v>
      </c>
      <c r="BE646" s="117" t="s">
        <v>4985</v>
      </c>
      <c r="BF646" s="2"/>
      <c r="BG646" s="3"/>
      <c r="BH646" s="3"/>
      <c r="BI646" s="3"/>
      <c r="BJ646" s="3"/>
    </row>
    <row r="647" spans="1:62" ht="15">
      <c r="A647" s="66" t="s">
        <v>844</v>
      </c>
      <c r="B647" s="67"/>
      <c r="C647" s="67"/>
      <c r="D647" s="68">
        <v>50</v>
      </c>
      <c r="E647" s="70"/>
      <c r="F647" s="105" t="str">
        <f>HYPERLINK("https://yt3.ggpht.com/ytc/AIf8zZSuWf4BD9N7jOhCIEaJNQ3JzAetOS4fDMOTag=s88-c-k-c0x00ffffff-no-rj")</f>
        <v>https://yt3.ggpht.com/ytc/AIf8zZSuWf4BD9N7jOhCIEaJNQ3JzAetOS4fDMOTag=s88-c-k-c0x00ffffff-no-rj</v>
      </c>
      <c r="G647" s="67"/>
      <c r="H647" s="71" t="s">
        <v>3076</v>
      </c>
      <c r="I647" s="72"/>
      <c r="J647" s="72" t="s">
        <v>159</v>
      </c>
      <c r="K647" s="71" t="s">
        <v>3076</v>
      </c>
      <c r="L647" s="75">
        <v>1</v>
      </c>
      <c r="M647" s="76">
        <v>1967.9814453125</v>
      </c>
      <c r="N647" s="76">
        <v>5373.02880859375</v>
      </c>
      <c r="O647" s="77"/>
      <c r="P647" s="78"/>
      <c r="Q647" s="78"/>
      <c r="R647" s="90"/>
      <c r="S647" s="49">
        <v>0</v>
      </c>
      <c r="T647" s="49">
        <v>1</v>
      </c>
      <c r="U647" s="50">
        <v>0</v>
      </c>
      <c r="V647" s="50">
        <v>0.231785</v>
      </c>
      <c r="W647" s="51"/>
      <c r="X647" s="51"/>
      <c r="Y647" s="51"/>
      <c r="Z647" s="50"/>
      <c r="AA647" s="73">
        <v>647</v>
      </c>
      <c r="AB647" s="73"/>
      <c r="AC647" s="74"/>
      <c r="AD647" s="81" t="s">
        <v>3076</v>
      </c>
      <c r="AE647" s="81"/>
      <c r="AF647" s="81"/>
      <c r="AG647" s="81"/>
      <c r="AH647" s="81"/>
      <c r="AI647" s="81" t="s">
        <v>2310</v>
      </c>
      <c r="AJ647" s="88">
        <v>40901.072962962964</v>
      </c>
      <c r="AK647" s="86" t="str">
        <f>HYPERLINK("https://yt3.ggpht.com/ytc/AIf8zZSuWf4BD9N7jOhCIEaJNQ3JzAetOS4fDMOTag=s88-c-k-c0x00ffffff-no-rj")</f>
        <v>https://yt3.ggpht.com/ytc/AIf8zZSuWf4BD9N7jOhCIEaJNQ3JzAetOS4fDMOTag=s88-c-k-c0x00ffffff-no-rj</v>
      </c>
      <c r="AL647" s="81">
        <v>0</v>
      </c>
      <c r="AM647" s="81">
        <v>0</v>
      </c>
      <c r="AN647" s="81">
        <v>0</v>
      </c>
      <c r="AO647" s="81" t="b">
        <v>0</v>
      </c>
      <c r="AP647" s="81">
        <v>0</v>
      </c>
      <c r="AQ647" s="81"/>
      <c r="AR647" s="81"/>
      <c r="AS647" s="81" t="s">
        <v>3378</v>
      </c>
      <c r="AT647" s="86" t="str">
        <f>HYPERLINK("https://www.youtube.com/channel/UC30YM03IuFEigyE8mgFc22Q")</f>
        <v>https://www.youtube.com/channel/UC30YM03IuFEigyE8mgFc22Q</v>
      </c>
      <c r="AU647" s="81" t="str">
        <f>REPLACE(INDEX(GroupVertices[Group],MATCH("~"&amp;Vertices[[#This Row],[Vertex]],GroupVertices[Vertex],0)),1,1,"")</f>
        <v>1</v>
      </c>
      <c r="AV647" s="49"/>
      <c r="AW647" s="49"/>
      <c r="AX647" s="49"/>
      <c r="AY647" s="49"/>
      <c r="AZ647" s="49"/>
      <c r="BA647" s="49"/>
      <c r="BB647" s="117" t="s">
        <v>4304</v>
      </c>
      <c r="BC647" s="117" t="s">
        <v>4304</v>
      </c>
      <c r="BD647" s="117" t="s">
        <v>4986</v>
      </c>
      <c r="BE647" s="117" t="s">
        <v>4986</v>
      </c>
      <c r="BF647" s="2"/>
      <c r="BG647" s="3"/>
      <c r="BH647" s="3"/>
      <c r="BI647" s="3"/>
      <c r="BJ647" s="3"/>
    </row>
    <row r="648" spans="1:62" ht="15">
      <c r="A648" s="66" t="s">
        <v>845</v>
      </c>
      <c r="B648" s="67"/>
      <c r="C648" s="67"/>
      <c r="D648" s="68">
        <v>50</v>
      </c>
      <c r="E648" s="70"/>
      <c r="F648" s="105" t="str">
        <f>HYPERLINK("https://yt3.ggpht.com/ytc/AIf8zZRcnvhwya4bjr0Dp2CCL3YUEI4Yqb3GP4HGbg=s88-c-k-c0x00ffffff-no-rj")</f>
        <v>https://yt3.ggpht.com/ytc/AIf8zZRcnvhwya4bjr0Dp2CCL3YUEI4Yqb3GP4HGbg=s88-c-k-c0x00ffffff-no-rj</v>
      </c>
      <c r="G648" s="67"/>
      <c r="H648" s="71" t="s">
        <v>3077</v>
      </c>
      <c r="I648" s="72"/>
      <c r="J648" s="72" t="s">
        <v>159</v>
      </c>
      <c r="K648" s="71" t="s">
        <v>3077</v>
      </c>
      <c r="L648" s="75">
        <v>1</v>
      </c>
      <c r="M648" s="76">
        <v>2539.080810546875</v>
      </c>
      <c r="N648" s="76">
        <v>6597.17626953125</v>
      </c>
      <c r="O648" s="77"/>
      <c r="P648" s="78"/>
      <c r="Q648" s="78"/>
      <c r="R648" s="90"/>
      <c r="S648" s="49">
        <v>0</v>
      </c>
      <c r="T648" s="49">
        <v>1</v>
      </c>
      <c r="U648" s="50">
        <v>0</v>
      </c>
      <c r="V648" s="50">
        <v>0.231785</v>
      </c>
      <c r="W648" s="51"/>
      <c r="X648" s="51"/>
      <c r="Y648" s="51"/>
      <c r="Z648" s="50"/>
      <c r="AA648" s="73">
        <v>648</v>
      </c>
      <c r="AB648" s="73"/>
      <c r="AC648" s="74"/>
      <c r="AD648" s="81" t="s">
        <v>3077</v>
      </c>
      <c r="AE648" s="81"/>
      <c r="AF648" s="81"/>
      <c r="AG648" s="81"/>
      <c r="AH648" s="81"/>
      <c r="AI648" s="81" t="s">
        <v>2311</v>
      </c>
      <c r="AJ648" s="88">
        <v>41402.44168981481</v>
      </c>
      <c r="AK648" s="86" t="str">
        <f>HYPERLINK("https://yt3.ggpht.com/ytc/AIf8zZRcnvhwya4bjr0Dp2CCL3YUEI4Yqb3GP4HGbg=s88-c-k-c0x00ffffff-no-rj")</f>
        <v>https://yt3.ggpht.com/ytc/AIf8zZRcnvhwya4bjr0Dp2CCL3YUEI4Yqb3GP4HGbg=s88-c-k-c0x00ffffff-no-rj</v>
      </c>
      <c r="AL648" s="81">
        <v>0</v>
      </c>
      <c r="AM648" s="81">
        <v>0</v>
      </c>
      <c r="AN648" s="81">
        <v>1</v>
      </c>
      <c r="AO648" s="81" t="b">
        <v>0</v>
      </c>
      <c r="AP648" s="81">
        <v>0</v>
      </c>
      <c r="AQ648" s="81"/>
      <c r="AR648" s="81"/>
      <c r="AS648" s="81" t="s">
        <v>3378</v>
      </c>
      <c r="AT648" s="86" t="str">
        <f>HYPERLINK("https://www.youtube.com/channel/UCd6WW4sH6Wenv5hPVuyqhFw")</f>
        <v>https://www.youtube.com/channel/UCd6WW4sH6Wenv5hPVuyqhFw</v>
      </c>
      <c r="AU648" s="81" t="str">
        <f>REPLACE(INDEX(GroupVertices[Group],MATCH("~"&amp;Vertices[[#This Row],[Vertex]],GroupVertices[Vertex],0)),1,1,"")</f>
        <v>1</v>
      </c>
      <c r="AV648" s="49"/>
      <c r="AW648" s="49"/>
      <c r="AX648" s="49"/>
      <c r="AY648" s="49"/>
      <c r="AZ648" s="49"/>
      <c r="BA648" s="49"/>
      <c r="BB648" s="117" t="s">
        <v>4305</v>
      </c>
      <c r="BC648" s="117" t="s">
        <v>4305</v>
      </c>
      <c r="BD648" s="117" t="s">
        <v>4987</v>
      </c>
      <c r="BE648" s="117" t="s">
        <v>4987</v>
      </c>
      <c r="BF648" s="2"/>
      <c r="BG648" s="3"/>
      <c r="BH648" s="3"/>
      <c r="BI648" s="3"/>
      <c r="BJ648" s="3"/>
    </row>
    <row r="649" spans="1:62" ht="15">
      <c r="A649" s="66" t="s">
        <v>846</v>
      </c>
      <c r="B649" s="67"/>
      <c r="C649" s="67"/>
      <c r="D649" s="68">
        <v>50</v>
      </c>
      <c r="E649" s="70"/>
      <c r="F649" s="105" t="str">
        <f>HYPERLINK("https://yt3.ggpht.com/ytc/AIf8zZT0a6vUs_EwAL2mXyFV03sVsS75d6LmJnkgS9xRlA=s88-c-k-c0x00ffffff-no-rj")</f>
        <v>https://yt3.ggpht.com/ytc/AIf8zZT0a6vUs_EwAL2mXyFV03sVsS75d6LmJnkgS9xRlA=s88-c-k-c0x00ffffff-no-rj</v>
      </c>
      <c r="G649" s="67"/>
      <c r="H649" s="71" t="s">
        <v>3078</v>
      </c>
      <c r="I649" s="72"/>
      <c r="J649" s="72" t="s">
        <v>159</v>
      </c>
      <c r="K649" s="71" t="s">
        <v>3078</v>
      </c>
      <c r="L649" s="75">
        <v>1</v>
      </c>
      <c r="M649" s="76">
        <v>3115.0546875</v>
      </c>
      <c r="N649" s="76">
        <v>6765.54052734375</v>
      </c>
      <c r="O649" s="77"/>
      <c r="P649" s="78"/>
      <c r="Q649" s="78"/>
      <c r="R649" s="90"/>
      <c r="S649" s="49">
        <v>0</v>
      </c>
      <c r="T649" s="49">
        <v>1</v>
      </c>
      <c r="U649" s="50">
        <v>0</v>
      </c>
      <c r="V649" s="50">
        <v>0.231785</v>
      </c>
      <c r="W649" s="51"/>
      <c r="X649" s="51"/>
      <c r="Y649" s="51"/>
      <c r="Z649" s="50"/>
      <c r="AA649" s="73">
        <v>649</v>
      </c>
      <c r="AB649" s="73"/>
      <c r="AC649" s="74"/>
      <c r="AD649" s="81" t="s">
        <v>3078</v>
      </c>
      <c r="AE649" s="81"/>
      <c r="AF649" s="81"/>
      <c r="AG649" s="81"/>
      <c r="AH649" s="81"/>
      <c r="AI649" s="81" t="s">
        <v>2312</v>
      </c>
      <c r="AJ649" s="88">
        <v>39141.80296296296</v>
      </c>
      <c r="AK649" s="86" t="str">
        <f>HYPERLINK("https://yt3.ggpht.com/ytc/AIf8zZT0a6vUs_EwAL2mXyFV03sVsS75d6LmJnkgS9xRlA=s88-c-k-c0x00ffffff-no-rj")</f>
        <v>https://yt3.ggpht.com/ytc/AIf8zZT0a6vUs_EwAL2mXyFV03sVsS75d6LmJnkgS9xRlA=s88-c-k-c0x00ffffff-no-rj</v>
      </c>
      <c r="AL649" s="81">
        <v>9</v>
      </c>
      <c r="AM649" s="81">
        <v>0</v>
      </c>
      <c r="AN649" s="81">
        <v>0</v>
      </c>
      <c r="AO649" s="81" t="b">
        <v>0</v>
      </c>
      <c r="AP649" s="81">
        <v>1</v>
      </c>
      <c r="AQ649" s="81"/>
      <c r="AR649" s="81"/>
      <c r="AS649" s="81" t="s">
        <v>3378</v>
      </c>
      <c r="AT649" s="86" t="str">
        <f>HYPERLINK("https://www.youtube.com/channel/UCopBTPY_jAKTFeU2TqivmOA")</f>
        <v>https://www.youtube.com/channel/UCopBTPY_jAKTFeU2TqivmOA</v>
      </c>
      <c r="AU649" s="81" t="str">
        <f>REPLACE(INDEX(GroupVertices[Group],MATCH("~"&amp;Vertices[[#This Row],[Vertex]],GroupVertices[Vertex],0)),1,1,"")</f>
        <v>1</v>
      </c>
      <c r="AV649" s="49"/>
      <c r="AW649" s="49"/>
      <c r="AX649" s="49"/>
      <c r="AY649" s="49"/>
      <c r="AZ649" s="49"/>
      <c r="BA649" s="49"/>
      <c r="BB649" s="117" t="s">
        <v>4306</v>
      </c>
      <c r="BC649" s="117" t="s">
        <v>4306</v>
      </c>
      <c r="BD649" s="117" t="s">
        <v>4988</v>
      </c>
      <c r="BE649" s="117" t="s">
        <v>4988</v>
      </c>
      <c r="BF649" s="2"/>
      <c r="BG649" s="3"/>
      <c r="BH649" s="3"/>
      <c r="BI649" s="3"/>
      <c r="BJ649" s="3"/>
    </row>
    <row r="650" spans="1:62" ht="15">
      <c r="A650" s="66" t="s">
        <v>847</v>
      </c>
      <c r="B650" s="67"/>
      <c r="C650" s="67"/>
      <c r="D650" s="68">
        <v>50</v>
      </c>
      <c r="E650" s="70"/>
      <c r="F650" s="105" t="str">
        <f>HYPERLINK("https://yt3.ggpht.com/ytc/AIf8zZSiEJTpbeNFdSYD1-UE1r08qauGmtlBfBPzZQ=s88-c-k-c0x00ffffff-no-rj")</f>
        <v>https://yt3.ggpht.com/ytc/AIf8zZSiEJTpbeNFdSYD1-UE1r08qauGmtlBfBPzZQ=s88-c-k-c0x00ffffff-no-rj</v>
      </c>
      <c r="G650" s="67"/>
      <c r="H650" s="71" t="s">
        <v>3079</v>
      </c>
      <c r="I650" s="72"/>
      <c r="J650" s="72" t="s">
        <v>159</v>
      </c>
      <c r="K650" s="71" t="s">
        <v>3079</v>
      </c>
      <c r="L650" s="75">
        <v>1</v>
      </c>
      <c r="M650" s="76">
        <v>1931.549560546875</v>
      </c>
      <c r="N650" s="76">
        <v>9558.6767578125</v>
      </c>
      <c r="O650" s="77"/>
      <c r="P650" s="78"/>
      <c r="Q650" s="78"/>
      <c r="R650" s="90"/>
      <c r="S650" s="49">
        <v>0</v>
      </c>
      <c r="T650" s="49">
        <v>1</v>
      </c>
      <c r="U650" s="50">
        <v>0</v>
      </c>
      <c r="V650" s="50">
        <v>0.231785</v>
      </c>
      <c r="W650" s="51"/>
      <c r="X650" s="51"/>
      <c r="Y650" s="51"/>
      <c r="Z650" s="50"/>
      <c r="AA650" s="73">
        <v>650</v>
      </c>
      <c r="AB650" s="73"/>
      <c r="AC650" s="74"/>
      <c r="AD650" s="81" t="s">
        <v>3079</v>
      </c>
      <c r="AE650" s="81"/>
      <c r="AF650" s="81"/>
      <c r="AG650" s="81"/>
      <c r="AH650" s="81"/>
      <c r="AI650" s="81" t="s">
        <v>2313</v>
      </c>
      <c r="AJ650" s="88">
        <v>40831.11682870371</v>
      </c>
      <c r="AK650" s="86" t="str">
        <f>HYPERLINK("https://yt3.ggpht.com/ytc/AIf8zZSiEJTpbeNFdSYD1-UE1r08qauGmtlBfBPzZQ=s88-c-k-c0x00ffffff-no-rj")</f>
        <v>https://yt3.ggpht.com/ytc/AIf8zZSiEJTpbeNFdSYD1-UE1r08qauGmtlBfBPzZQ=s88-c-k-c0x00ffffff-no-rj</v>
      </c>
      <c r="AL650" s="81">
        <v>0</v>
      </c>
      <c r="AM650" s="81">
        <v>0</v>
      </c>
      <c r="AN650" s="81">
        <v>0</v>
      </c>
      <c r="AO650" s="81" t="b">
        <v>0</v>
      </c>
      <c r="AP650" s="81">
        <v>0</v>
      </c>
      <c r="AQ650" s="81"/>
      <c r="AR650" s="81"/>
      <c r="AS650" s="81" t="s">
        <v>3378</v>
      </c>
      <c r="AT650" s="86" t="str">
        <f>HYPERLINK("https://www.youtube.com/channel/UCT-vOc-zLHKm2jh5gk2jTlw")</f>
        <v>https://www.youtube.com/channel/UCT-vOc-zLHKm2jh5gk2jTlw</v>
      </c>
      <c r="AU650" s="81" t="str">
        <f>REPLACE(INDEX(GroupVertices[Group],MATCH("~"&amp;Vertices[[#This Row],[Vertex]],GroupVertices[Vertex],0)),1,1,"")</f>
        <v>1</v>
      </c>
      <c r="AV650" s="49"/>
      <c r="AW650" s="49"/>
      <c r="AX650" s="49"/>
      <c r="AY650" s="49"/>
      <c r="AZ650" s="49"/>
      <c r="BA650" s="49"/>
      <c r="BB650" s="117" t="s">
        <v>4307</v>
      </c>
      <c r="BC650" s="117" t="s">
        <v>4307</v>
      </c>
      <c r="BD650" s="117" t="s">
        <v>4989</v>
      </c>
      <c r="BE650" s="117" t="s">
        <v>4989</v>
      </c>
      <c r="BF650" s="2"/>
      <c r="BG650" s="3"/>
      <c r="BH650" s="3"/>
      <c r="BI650" s="3"/>
      <c r="BJ650" s="3"/>
    </row>
    <row r="651" spans="1:62" ht="15">
      <c r="A651" s="66" t="s">
        <v>848</v>
      </c>
      <c r="B651" s="67"/>
      <c r="C651" s="67"/>
      <c r="D651" s="68">
        <v>50</v>
      </c>
      <c r="E651" s="70"/>
      <c r="F651" s="105" t="str">
        <f>HYPERLINK("https://yt3.ggpht.com/ytc/AIf8zZQ9QBesU7V25eulaqoe8gkOej4mrKpj8WqUxpLhPQ=s88-c-k-c0x00ffffff-no-rj")</f>
        <v>https://yt3.ggpht.com/ytc/AIf8zZQ9QBesU7V25eulaqoe8gkOej4mrKpj8WqUxpLhPQ=s88-c-k-c0x00ffffff-no-rj</v>
      </c>
      <c r="G651" s="67"/>
      <c r="H651" s="71" t="s">
        <v>3080</v>
      </c>
      <c r="I651" s="72"/>
      <c r="J651" s="72" t="s">
        <v>159</v>
      </c>
      <c r="K651" s="71" t="s">
        <v>3080</v>
      </c>
      <c r="L651" s="75">
        <v>1</v>
      </c>
      <c r="M651" s="76">
        <v>1506.031494140625</v>
      </c>
      <c r="N651" s="76">
        <v>9607.0595703125</v>
      </c>
      <c r="O651" s="77"/>
      <c r="P651" s="78"/>
      <c r="Q651" s="78"/>
      <c r="R651" s="90"/>
      <c r="S651" s="49">
        <v>0</v>
      </c>
      <c r="T651" s="49">
        <v>1</v>
      </c>
      <c r="U651" s="50">
        <v>0</v>
      </c>
      <c r="V651" s="50">
        <v>0.231785</v>
      </c>
      <c r="W651" s="51"/>
      <c r="X651" s="51"/>
      <c r="Y651" s="51"/>
      <c r="Z651" s="50"/>
      <c r="AA651" s="73">
        <v>651</v>
      </c>
      <c r="AB651" s="73"/>
      <c r="AC651" s="74"/>
      <c r="AD651" s="81" t="s">
        <v>3080</v>
      </c>
      <c r="AE651" s="81"/>
      <c r="AF651" s="81"/>
      <c r="AG651" s="81"/>
      <c r="AH651" s="81"/>
      <c r="AI651" s="81" t="s">
        <v>2314</v>
      </c>
      <c r="AJ651" s="88">
        <v>39556.05987268518</v>
      </c>
      <c r="AK651" s="86" t="str">
        <f>HYPERLINK("https://yt3.ggpht.com/ytc/AIf8zZQ9QBesU7V25eulaqoe8gkOej4mrKpj8WqUxpLhPQ=s88-c-k-c0x00ffffff-no-rj")</f>
        <v>https://yt3.ggpht.com/ytc/AIf8zZQ9QBesU7V25eulaqoe8gkOej4mrKpj8WqUxpLhPQ=s88-c-k-c0x00ffffff-no-rj</v>
      </c>
      <c r="AL651" s="81">
        <v>0</v>
      </c>
      <c r="AM651" s="81">
        <v>0</v>
      </c>
      <c r="AN651" s="81">
        <v>0</v>
      </c>
      <c r="AO651" s="81" t="b">
        <v>0</v>
      </c>
      <c r="AP651" s="81">
        <v>0</v>
      </c>
      <c r="AQ651" s="81"/>
      <c r="AR651" s="81"/>
      <c r="AS651" s="81" t="s">
        <v>3378</v>
      </c>
      <c r="AT651" s="86" t="str">
        <f>HYPERLINK("https://www.youtube.com/channel/UCHYUAB_n-oCEI8tG4vxn84g")</f>
        <v>https://www.youtube.com/channel/UCHYUAB_n-oCEI8tG4vxn84g</v>
      </c>
      <c r="AU651" s="81" t="str">
        <f>REPLACE(INDEX(GroupVertices[Group],MATCH("~"&amp;Vertices[[#This Row],[Vertex]],GroupVertices[Vertex],0)),1,1,"")</f>
        <v>1</v>
      </c>
      <c r="AV651" s="49"/>
      <c r="AW651" s="49"/>
      <c r="AX651" s="49"/>
      <c r="AY651" s="49"/>
      <c r="AZ651" s="49"/>
      <c r="BA651" s="49"/>
      <c r="BB651" s="117" t="s">
        <v>4308</v>
      </c>
      <c r="BC651" s="117" t="s">
        <v>4308</v>
      </c>
      <c r="BD651" s="117" t="s">
        <v>4990</v>
      </c>
      <c r="BE651" s="117" t="s">
        <v>4990</v>
      </c>
      <c r="BF651" s="2"/>
      <c r="BG651" s="3"/>
      <c r="BH651" s="3"/>
      <c r="BI651" s="3"/>
      <c r="BJ651" s="3"/>
    </row>
    <row r="652" spans="1:62" ht="15">
      <c r="A652" s="66" t="s">
        <v>849</v>
      </c>
      <c r="B652" s="67"/>
      <c r="C652" s="67"/>
      <c r="D652" s="68">
        <v>50</v>
      </c>
      <c r="E652" s="70"/>
      <c r="F652" s="105" t="str">
        <f>HYPERLINK("https://yt3.ggpht.com/ytc/AIf8zZRiJaFmMnp4rMPDe2gDkbefwBMLSf-3bKvGI1Mm=s88-c-k-c0x00ffffff-no-rj")</f>
        <v>https://yt3.ggpht.com/ytc/AIf8zZRiJaFmMnp4rMPDe2gDkbefwBMLSf-3bKvGI1Mm=s88-c-k-c0x00ffffff-no-rj</v>
      </c>
      <c r="G652" s="67"/>
      <c r="H652" s="71" t="s">
        <v>3081</v>
      </c>
      <c r="I652" s="72"/>
      <c r="J652" s="72" t="s">
        <v>159</v>
      </c>
      <c r="K652" s="71" t="s">
        <v>3081</v>
      </c>
      <c r="L652" s="75">
        <v>1</v>
      </c>
      <c r="M652" s="76">
        <v>2899.033935546875</v>
      </c>
      <c r="N652" s="76">
        <v>4651.8271484375</v>
      </c>
      <c r="O652" s="77"/>
      <c r="P652" s="78"/>
      <c r="Q652" s="78"/>
      <c r="R652" s="90"/>
      <c r="S652" s="49">
        <v>0</v>
      </c>
      <c r="T652" s="49">
        <v>1</v>
      </c>
      <c r="U652" s="50">
        <v>0</v>
      </c>
      <c r="V652" s="50">
        <v>0.231785</v>
      </c>
      <c r="W652" s="51"/>
      <c r="X652" s="51"/>
      <c r="Y652" s="51"/>
      <c r="Z652" s="50"/>
      <c r="AA652" s="73">
        <v>652</v>
      </c>
      <c r="AB652" s="73"/>
      <c r="AC652" s="74"/>
      <c r="AD652" s="81" t="s">
        <v>3081</v>
      </c>
      <c r="AE652" s="81"/>
      <c r="AF652" s="81"/>
      <c r="AG652" s="81"/>
      <c r="AH652" s="81"/>
      <c r="AI652" s="81" t="s">
        <v>3368</v>
      </c>
      <c r="AJ652" s="88">
        <v>42915.884409722225</v>
      </c>
      <c r="AK652" s="86" t="str">
        <f>HYPERLINK("https://yt3.ggpht.com/ytc/AIf8zZRiJaFmMnp4rMPDe2gDkbefwBMLSf-3bKvGI1Mm=s88-c-k-c0x00ffffff-no-rj")</f>
        <v>https://yt3.ggpht.com/ytc/AIf8zZRiJaFmMnp4rMPDe2gDkbefwBMLSf-3bKvGI1Mm=s88-c-k-c0x00ffffff-no-rj</v>
      </c>
      <c r="AL652" s="81">
        <v>2934</v>
      </c>
      <c r="AM652" s="81">
        <v>0</v>
      </c>
      <c r="AN652" s="81">
        <v>38</v>
      </c>
      <c r="AO652" s="81" t="b">
        <v>0</v>
      </c>
      <c r="AP652" s="81">
        <v>35</v>
      </c>
      <c r="AQ652" s="81"/>
      <c r="AR652" s="81"/>
      <c r="AS652" s="81" t="s">
        <v>3378</v>
      </c>
      <c r="AT652" s="86" t="str">
        <f>HYPERLINK("https://www.youtube.com/channel/UCyK5Td9FaaPk2GRMozJRzZw")</f>
        <v>https://www.youtube.com/channel/UCyK5Td9FaaPk2GRMozJRzZw</v>
      </c>
      <c r="AU652" s="81" t="str">
        <f>REPLACE(INDEX(GroupVertices[Group],MATCH("~"&amp;Vertices[[#This Row],[Vertex]],GroupVertices[Vertex],0)),1,1,"")</f>
        <v>1</v>
      </c>
      <c r="AV652" s="49"/>
      <c r="AW652" s="49"/>
      <c r="AX652" s="49"/>
      <c r="AY652" s="49"/>
      <c r="AZ652" s="49"/>
      <c r="BA652" s="49"/>
      <c r="BB652" s="117" t="s">
        <v>4309</v>
      </c>
      <c r="BC652" s="117" t="s">
        <v>4309</v>
      </c>
      <c r="BD652" s="117" t="s">
        <v>4991</v>
      </c>
      <c r="BE652" s="117" t="s">
        <v>4991</v>
      </c>
      <c r="BF652" s="2"/>
      <c r="BG652" s="3"/>
      <c r="BH652" s="3"/>
      <c r="BI652" s="3"/>
      <c r="BJ652" s="3"/>
    </row>
    <row r="653" spans="1:62" ht="15">
      <c r="A653" s="66" t="s">
        <v>850</v>
      </c>
      <c r="B653" s="67"/>
      <c r="C653" s="67"/>
      <c r="D653" s="68">
        <v>50</v>
      </c>
      <c r="E653" s="70"/>
      <c r="F653" s="105" t="str">
        <f>HYPERLINK("https://yt3.ggpht.com/ytc/AIf8zZSAxVt-7fK_sFYDTuBojb6_B1R__uRNPi6R9A=s88-c-k-c0x00ffffff-no-rj")</f>
        <v>https://yt3.ggpht.com/ytc/AIf8zZSAxVt-7fK_sFYDTuBojb6_B1R__uRNPi6R9A=s88-c-k-c0x00ffffff-no-rj</v>
      </c>
      <c r="G653" s="67"/>
      <c r="H653" s="71" t="s">
        <v>3082</v>
      </c>
      <c r="I653" s="72"/>
      <c r="J653" s="72" t="s">
        <v>159</v>
      </c>
      <c r="K653" s="71" t="s">
        <v>3082</v>
      </c>
      <c r="L653" s="75">
        <v>1</v>
      </c>
      <c r="M653" s="76">
        <v>2805.32421875</v>
      </c>
      <c r="N653" s="76">
        <v>8817.6767578125</v>
      </c>
      <c r="O653" s="77"/>
      <c r="P653" s="78"/>
      <c r="Q653" s="78"/>
      <c r="R653" s="90"/>
      <c r="S653" s="49">
        <v>0</v>
      </c>
      <c r="T653" s="49">
        <v>1</v>
      </c>
      <c r="U653" s="50">
        <v>0</v>
      </c>
      <c r="V653" s="50">
        <v>0.231785</v>
      </c>
      <c r="W653" s="51"/>
      <c r="X653" s="51"/>
      <c r="Y653" s="51"/>
      <c r="Z653" s="50"/>
      <c r="AA653" s="73">
        <v>653</v>
      </c>
      <c r="AB653" s="73"/>
      <c r="AC653" s="74"/>
      <c r="AD653" s="81" t="s">
        <v>3082</v>
      </c>
      <c r="AE653" s="81"/>
      <c r="AF653" s="81"/>
      <c r="AG653" s="81"/>
      <c r="AH653" s="81"/>
      <c r="AI653" s="81" t="s">
        <v>2316</v>
      </c>
      <c r="AJ653" s="88">
        <v>44042.25361111111</v>
      </c>
      <c r="AK653" s="86" t="str">
        <f>HYPERLINK("https://yt3.ggpht.com/ytc/AIf8zZSAxVt-7fK_sFYDTuBojb6_B1R__uRNPi6R9A=s88-c-k-c0x00ffffff-no-rj")</f>
        <v>https://yt3.ggpht.com/ytc/AIf8zZSAxVt-7fK_sFYDTuBojb6_B1R__uRNPi6R9A=s88-c-k-c0x00ffffff-no-rj</v>
      </c>
      <c r="AL653" s="81">
        <v>0</v>
      </c>
      <c r="AM653" s="81">
        <v>0</v>
      </c>
      <c r="AN653" s="81">
        <v>0</v>
      </c>
      <c r="AO653" s="81" t="b">
        <v>0</v>
      </c>
      <c r="AP653" s="81">
        <v>0</v>
      </c>
      <c r="AQ653" s="81"/>
      <c r="AR653" s="81"/>
      <c r="AS653" s="81" t="s">
        <v>3378</v>
      </c>
      <c r="AT653" s="86" t="str">
        <f>HYPERLINK("https://www.youtube.com/channel/UCV_03ocMayTM7MOw7O2JeNQ")</f>
        <v>https://www.youtube.com/channel/UCV_03ocMayTM7MOw7O2JeNQ</v>
      </c>
      <c r="AU653" s="81" t="str">
        <f>REPLACE(INDEX(GroupVertices[Group],MATCH("~"&amp;Vertices[[#This Row],[Vertex]],GroupVertices[Vertex],0)),1,1,"")</f>
        <v>1</v>
      </c>
      <c r="AV653" s="49"/>
      <c r="AW653" s="49"/>
      <c r="AX653" s="49"/>
      <c r="AY653" s="49"/>
      <c r="AZ653" s="49"/>
      <c r="BA653" s="49"/>
      <c r="BB653" s="117" t="s">
        <v>4310</v>
      </c>
      <c r="BC653" s="117" t="s">
        <v>4310</v>
      </c>
      <c r="BD653" s="117" t="s">
        <v>4992</v>
      </c>
      <c r="BE653" s="117" t="s">
        <v>4992</v>
      </c>
      <c r="BF653" s="2"/>
      <c r="BG653" s="3"/>
      <c r="BH653" s="3"/>
      <c r="BI653" s="3"/>
      <c r="BJ653" s="3"/>
    </row>
    <row r="654" spans="1:62" ht="15">
      <c r="A654" s="66" t="s">
        <v>851</v>
      </c>
      <c r="B654" s="67"/>
      <c r="C654" s="67"/>
      <c r="D654" s="68">
        <v>50</v>
      </c>
      <c r="E654" s="70"/>
      <c r="F654" s="105" t="str">
        <f>HYPERLINK("https://yt3.ggpht.com/ytc/AIf8zZSZuYeBR1Utxs9wWkHpoxGF-i1vpQ5Pegfvaw=s88-c-k-c0x00ffffff-no-rj")</f>
        <v>https://yt3.ggpht.com/ytc/AIf8zZSZuYeBR1Utxs9wWkHpoxGF-i1vpQ5Pegfvaw=s88-c-k-c0x00ffffff-no-rj</v>
      </c>
      <c r="G654" s="67"/>
      <c r="H654" s="71" t="s">
        <v>3083</v>
      </c>
      <c r="I654" s="72"/>
      <c r="J654" s="72" t="s">
        <v>159</v>
      </c>
      <c r="K654" s="71" t="s">
        <v>3083</v>
      </c>
      <c r="L654" s="75">
        <v>1</v>
      </c>
      <c r="M654" s="76">
        <v>2734.349609375</v>
      </c>
      <c r="N654" s="76">
        <v>3915.79052734375</v>
      </c>
      <c r="O654" s="77"/>
      <c r="P654" s="78"/>
      <c r="Q654" s="78"/>
      <c r="R654" s="90"/>
      <c r="S654" s="49">
        <v>0</v>
      </c>
      <c r="T654" s="49">
        <v>1</v>
      </c>
      <c r="U654" s="50">
        <v>0</v>
      </c>
      <c r="V654" s="50">
        <v>0.231785</v>
      </c>
      <c r="W654" s="51"/>
      <c r="X654" s="51"/>
      <c r="Y654" s="51"/>
      <c r="Z654" s="50"/>
      <c r="AA654" s="73">
        <v>654</v>
      </c>
      <c r="AB654" s="73"/>
      <c r="AC654" s="74"/>
      <c r="AD654" s="81" t="s">
        <v>3083</v>
      </c>
      <c r="AE654" s="81"/>
      <c r="AF654" s="81"/>
      <c r="AG654" s="81"/>
      <c r="AH654" s="81"/>
      <c r="AI654" s="81" t="s">
        <v>2317</v>
      </c>
      <c r="AJ654" s="88">
        <v>40834.97540509259</v>
      </c>
      <c r="AK654" s="86" t="str">
        <f>HYPERLINK("https://yt3.ggpht.com/ytc/AIf8zZSZuYeBR1Utxs9wWkHpoxGF-i1vpQ5Pegfvaw=s88-c-k-c0x00ffffff-no-rj")</f>
        <v>https://yt3.ggpht.com/ytc/AIf8zZSZuYeBR1Utxs9wWkHpoxGF-i1vpQ5Pegfvaw=s88-c-k-c0x00ffffff-no-rj</v>
      </c>
      <c r="AL654" s="81">
        <v>103</v>
      </c>
      <c r="AM654" s="81">
        <v>0</v>
      </c>
      <c r="AN654" s="81">
        <v>0</v>
      </c>
      <c r="AO654" s="81" t="b">
        <v>0</v>
      </c>
      <c r="AP654" s="81">
        <v>1</v>
      </c>
      <c r="AQ654" s="81"/>
      <c r="AR654" s="81"/>
      <c r="AS654" s="81" t="s">
        <v>3378</v>
      </c>
      <c r="AT654" s="86" t="str">
        <f>HYPERLINK("https://www.youtube.com/channel/UCK12UCIBiDYD4C548ZkO4kA")</f>
        <v>https://www.youtube.com/channel/UCK12UCIBiDYD4C548ZkO4kA</v>
      </c>
      <c r="AU654" s="81" t="str">
        <f>REPLACE(INDEX(GroupVertices[Group],MATCH("~"&amp;Vertices[[#This Row],[Vertex]],GroupVertices[Vertex],0)),1,1,"")</f>
        <v>1</v>
      </c>
      <c r="AV654" s="49"/>
      <c r="AW654" s="49"/>
      <c r="AX654" s="49"/>
      <c r="AY654" s="49"/>
      <c r="AZ654" s="49"/>
      <c r="BA654" s="49"/>
      <c r="BB654" s="117" t="s">
        <v>4311</v>
      </c>
      <c r="BC654" s="117" t="s">
        <v>4311</v>
      </c>
      <c r="BD654" s="117" t="s">
        <v>4993</v>
      </c>
      <c r="BE654" s="117" t="s">
        <v>4993</v>
      </c>
      <c r="BF654" s="2"/>
      <c r="BG654" s="3"/>
      <c r="BH654" s="3"/>
      <c r="BI654" s="3"/>
      <c r="BJ654" s="3"/>
    </row>
    <row r="655" spans="1:62" ht="15">
      <c r="A655" s="66" t="s">
        <v>852</v>
      </c>
      <c r="B655" s="67"/>
      <c r="C655" s="67"/>
      <c r="D655" s="68">
        <v>50</v>
      </c>
      <c r="E655" s="70"/>
      <c r="F655" s="105" t="str">
        <f>HYPERLINK("https://yt3.ggpht.com/OVtv3gMfqKsftG__LtWcubLsq5LKz3tHBeklzeWXB8LXNmtLEVdsiBrFQ_Is8ahb4WQV2foV=s88-c-k-c0x00ffffff-no-rj")</f>
        <v>https://yt3.ggpht.com/OVtv3gMfqKsftG__LtWcubLsq5LKz3tHBeklzeWXB8LXNmtLEVdsiBrFQ_Is8ahb4WQV2foV=s88-c-k-c0x00ffffff-no-rj</v>
      </c>
      <c r="G655" s="67"/>
      <c r="H655" s="71" t="s">
        <v>3084</v>
      </c>
      <c r="I655" s="72"/>
      <c r="J655" s="72" t="s">
        <v>159</v>
      </c>
      <c r="K655" s="71" t="s">
        <v>3084</v>
      </c>
      <c r="L655" s="75">
        <v>1</v>
      </c>
      <c r="M655" s="76">
        <v>2185.9716796875</v>
      </c>
      <c r="N655" s="76">
        <v>7217.7490234375</v>
      </c>
      <c r="O655" s="77"/>
      <c r="P655" s="78"/>
      <c r="Q655" s="78"/>
      <c r="R655" s="90"/>
      <c r="S655" s="49">
        <v>0</v>
      </c>
      <c r="T655" s="49">
        <v>1</v>
      </c>
      <c r="U655" s="50">
        <v>0</v>
      </c>
      <c r="V655" s="50">
        <v>0.231785</v>
      </c>
      <c r="W655" s="51"/>
      <c r="X655" s="51"/>
      <c r="Y655" s="51"/>
      <c r="Z655" s="50"/>
      <c r="AA655" s="73">
        <v>655</v>
      </c>
      <c r="AB655" s="73"/>
      <c r="AC655" s="74"/>
      <c r="AD655" s="81" t="s">
        <v>3084</v>
      </c>
      <c r="AE655" s="81"/>
      <c r="AF655" s="81"/>
      <c r="AG655" s="81"/>
      <c r="AH655" s="81"/>
      <c r="AI655" s="81" t="s">
        <v>2318</v>
      </c>
      <c r="AJ655" s="88">
        <v>44867.897673611114</v>
      </c>
      <c r="AK655" s="86" t="str">
        <f>HYPERLINK("https://yt3.ggpht.com/OVtv3gMfqKsftG__LtWcubLsq5LKz3tHBeklzeWXB8LXNmtLEVdsiBrFQ_Is8ahb4WQV2foV=s88-c-k-c0x00ffffff-no-rj")</f>
        <v>https://yt3.ggpht.com/OVtv3gMfqKsftG__LtWcubLsq5LKz3tHBeklzeWXB8LXNmtLEVdsiBrFQ_Is8ahb4WQV2foV=s88-c-k-c0x00ffffff-no-rj</v>
      </c>
      <c r="AL655" s="81">
        <v>0</v>
      </c>
      <c r="AM655" s="81">
        <v>0</v>
      </c>
      <c r="AN655" s="81">
        <v>0</v>
      </c>
      <c r="AO655" s="81" t="b">
        <v>0</v>
      </c>
      <c r="AP655" s="81">
        <v>0</v>
      </c>
      <c r="AQ655" s="81"/>
      <c r="AR655" s="81"/>
      <c r="AS655" s="81" t="s">
        <v>3378</v>
      </c>
      <c r="AT655" s="86" t="str">
        <f>HYPERLINK("https://www.youtube.com/channel/UCewG0U9fH3RYp8wbfB-1RQw")</f>
        <v>https://www.youtube.com/channel/UCewG0U9fH3RYp8wbfB-1RQw</v>
      </c>
      <c r="AU655" s="81" t="str">
        <f>REPLACE(INDEX(GroupVertices[Group],MATCH("~"&amp;Vertices[[#This Row],[Vertex]],GroupVertices[Vertex],0)),1,1,"")</f>
        <v>1</v>
      </c>
      <c r="AV655" s="49"/>
      <c r="AW655" s="49"/>
      <c r="AX655" s="49"/>
      <c r="AY655" s="49"/>
      <c r="AZ655" s="49"/>
      <c r="BA655" s="49"/>
      <c r="BB655" s="117" t="s">
        <v>4312</v>
      </c>
      <c r="BC655" s="117" t="s">
        <v>4312</v>
      </c>
      <c r="BD655" s="117" t="s">
        <v>4994</v>
      </c>
      <c r="BE655" s="117" t="s">
        <v>4994</v>
      </c>
      <c r="BF655" s="2"/>
      <c r="BG655" s="3"/>
      <c r="BH655" s="3"/>
      <c r="BI655" s="3"/>
      <c r="BJ655" s="3"/>
    </row>
    <row r="656" spans="1:62" ht="15">
      <c r="A656" s="66" t="s">
        <v>853</v>
      </c>
      <c r="B656" s="67"/>
      <c r="C656" s="67"/>
      <c r="D656" s="68">
        <v>50</v>
      </c>
      <c r="E656" s="70"/>
      <c r="F656" s="105" t="str">
        <f>HYPERLINK("https://yt3.ggpht.com/ytc/AIf8zZTFPqk4cVkiQsGbdzR0Ivo-yvNYNnwiHtXB5UUNW-g=s88-c-k-c0x00ffffff-no-rj")</f>
        <v>https://yt3.ggpht.com/ytc/AIf8zZTFPqk4cVkiQsGbdzR0Ivo-yvNYNnwiHtXB5UUNW-g=s88-c-k-c0x00ffffff-no-rj</v>
      </c>
      <c r="G656" s="67"/>
      <c r="H656" s="71" t="s">
        <v>3085</v>
      </c>
      <c r="I656" s="72"/>
      <c r="J656" s="72" t="s">
        <v>159</v>
      </c>
      <c r="K656" s="71" t="s">
        <v>3085</v>
      </c>
      <c r="L656" s="75">
        <v>1</v>
      </c>
      <c r="M656" s="76">
        <v>3715.6962890625</v>
      </c>
      <c r="N656" s="76">
        <v>6553.54541015625</v>
      </c>
      <c r="O656" s="77"/>
      <c r="P656" s="78"/>
      <c r="Q656" s="78"/>
      <c r="R656" s="90"/>
      <c r="S656" s="49">
        <v>0</v>
      </c>
      <c r="T656" s="49">
        <v>1</v>
      </c>
      <c r="U656" s="50">
        <v>0</v>
      </c>
      <c r="V656" s="50">
        <v>0.231785</v>
      </c>
      <c r="W656" s="51"/>
      <c r="X656" s="51"/>
      <c r="Y656" s="51"/>
      <c r="Z656" s="50"/>
      <c r="AA656" s="73">
        <v>656</v>
      </c>
      <c r="AB656" s="73"/>
      <c r="AC656" s="74"/>
      <c r="AD656" s="81" t="s">
        <v>3085</v>
      </c>
      <c r="AE656" s="81"/>
      <c r="AF656" s="81"/>
      <c r="AG656" s="81"/>
      <c r="AH656" s="81"/>
      <c r="AI656" s="81" t="s">
        <v>2319</v>
      </c>
      <c r="AJ656" s="88">
        <v>39526.998252314814</v>
      </c>
      <c r="AK656" s="86" t="str">
        <f>HYPERLINK("https://yt3.ggpht.com/ytc/AIf8zZTFPqk4cVkiQsGbdzR0Ivo-yvNYNnwiHtXB5UUNW-g=s88-c-k-c0x00ffffff-no-rj")</f>
        <v>https://yt3.ggpht.com/ytc/AIf8zZTFPqk4cVkiQsGbdzR0Ivo-yvNYNnwiHtXB5UUNW-g=s88-c-k-c0x00ffffff-no-rj</v>
      </c>
      <c r="AL656" s="81">
        <v>0</v>
      </c>
      <c r="AM656" s="81">
        <v>0</v>
      </c>
      <c r="AN656" s="81">
        <v>0</v>
      </c>
      <c r="AO656" s="81" t="b">
        <v>0</v>
      </c>
      <c r="AP656" s="81">
        <v>0</v>
      </c>
      <c r="AQ656" s="81"/>
      <c r="AR656" s="81"/>
      <c r="AS656" s="81" t="s">
        <v>3378</v>
      </c>
      <c r="AT656" s="86" t="str">
        <f>HYPERLINK("https://www.youtube.com/channel/UCV3fQadoPtfE3MXOWx-PtMw")</f>
        <v>https://www.youtube.com/channel/UCV3fQadoPtfE3MXOWx-PtMw</v>
      </c>
      <c r="AU656" s="81" t="str">
        <f>REPLACE(INDEX(GroupVertices[Group],MATCH("~"&amp;Vertices[[#This Row],[Vertex]],GroupVertices[Vertex],0)),1,1,"")</f>
        <v>1</v>
      </c>
      <c r="AV656" s="49"/>
      <c r="AW656" s="49"/>
      <c r="AX656" s="49"/>
      <c r="AY656" s="49"/>
      <c r="AZ656" s="49"/>
      <c r="BA656" s="49"/>
      <c r="BB656" s="117" t="s">
        <v>4313</v>
      </c>
      <c r="BC656" s="117" t="s">
        <v>4313</v>
      </c>
      <c r="BD656" s="117" t="s">
        <v>4995</v>
      </c>
      <c r="BE656" s="117" t="s">
        <v>4995</v>
      </c>
      <c r="BF656" s="2"/>
      <c r="BG656" s="3"/>
      <c r="BH656" s="3"/>
      <c r="BI656" s="3"/>
      <c r="BJ656" s="3"/>
    </row>
    <row r="657" spans="1:62" ht="15">
      <c r="A657" s="66" t="s">
        <v>854</v>
      </c>
      <c r="B657" s="67"/>
      <c r="C657" s="67"/>
      <c r="D657" s="68">
        <v>50</v>
      </c>
      <c r="E657" s="70"/>
      <c r="F657" s="105" t="str">
        <f>HYPERLINK("https://yt3.ggpht.com/ytc/AIf8zZRLd_AMlcFlM580GEqSLygFITVSyZ6NZ8CfYg=s88-c-k-c0x00ffffff-no-rj")</f>
        <v>https://yt3.ggpht.com/ytc/AIf8zZRLd_AMlcFlM580GEqSLygFITVSyZ6NZ8CfYg=s88-c-k-c0x00ffffff-no-rj</v>
      </c>
      <c r="G657" s="67"/>
      <c r="H657" s="71" t="s">
        <v>3086</v>
      </c>
      <c r="I657" s="72"/>
      <c r="J657" s="72" t="s">
        <v>159</v>
      </c>
      <c r="K657" s="71" t="s">
        <v>3086</v>
      </c>
      <c r="L657" s="75">
        <v>1</v>
      </c>
      <c r="M657" s="76">
        <v>2232.6015625</v>
      </c>
      <c r="N657" s="76">
        <v>4452.2763671875</v>
      </c>
      <c r="O657" s="77"/>
      <c r="P657" s="78"/>
      <c r="Q657" s="78"/>
      <c r="R657" s="90"/>
      <c r="S657" s="49">
        <v>0</v>
      </c>
      <c r="T657" s="49">
        <v>1</v>
      </c>
      <c r="U657" s="50">
        <v>0</v>
      </c>
      <c r="V657" s="50">
        <v>0.231785</v>
      </c>
      <c r="W657" s="51"/>
      <c r="X657" s="51"/>
      <c r="Y657" s="51"/>
      <c r="Z657" s="50"/>
      <c r="AA657" s="73">
        <v>657</v>
      </c>
      <c r="AB657" s="73"/>
      <c r="AC657" s="74"/>
      <c r="AD657" s="81" t="s">
        <v>3086</v>
      </c>
      <c r="AE657" s="81"/>
      <c r="AF657" s="81"/>
      <c r="AG657" s="81"/>
      <c r="AH657" s="81"/>
      <c r="AI657" s="81" t="s">
        <v>3369</v>
      </c>
      <c r="AJ657" s="88">
        <v>41831.1303125</v>
      </c>
      <c r="AK657" s="86" t="str">
        <f>HYPERLINK("https://yt3.ggpht.com/ytc/AIf8zZRLd_AMlcFlM580GEqSLygFITVSyZ6NZ8CfYg=s88-c-k-c0x00ffffff-no-rj")</f>
        <v>https://yt3.ggpht.com/ytc/AIf8zZRLd_AMlcFlM580GEqSLygFITVSyZ6NZ8CfYg=s88-c-k-c0x00ffffff-no-rj</v>
      </c>
      <c r="AL657" s="81">
        <v>0</v>
      </c>
      <c r="AM657" s="81">
        <v>0</v>
      </c>
      <c r="AN657" s="81">
        <v>5</v>
      </c>
      <c r="AO657" s="81" t="b">
        <v>0</v>
      </c>
      <c r="AP657" s="81">
        <v>0</v>
      </c>
      <c r="AQ657" s="81"/>
      <c r="AR657" s="81"/>
      <c r="AS657" s="81" t="s">
        <v>3378</v>
      </c>
      <c r="AT657" s="86" t="str">
        <f>HYPERLINK("https://www.youtube.com/channel/UCfxxy62vAkQ4c4K3v8iI19g")</f>
        <v>https://www.youtube.com/channel/UCfxxy62vAkQ4c4K3v8iI19g</v>
      </c>
      <c r="AU657" s="81" t="str">
        <f>REPLACE(INDEX(GroupVertices[Group],MATCH("~"&amp;Vertices[[#This Row],[Vertex]],GroupVertices[Vertex],0)),1,1,"")</f>
        <v>1</v>
      </c>
      <c r="AV657" s="49"/>
      <c r="AW657" s="49"/>
      <c r="AX657" s="49"/>
      <c r="AY657" s="49"/>
      <c r="AZ657" s="49"/>
      <c r="BA657" s="49"/>
      <c r="BB657" s="117" t="s">
        <v>4314</v>
      </c>
      <c r="BC657" s="117" t="s">
        <v>4314</v>
      </c>
      <c r="BD657" s="117" t="s">
        <v>4996</v>
      </c>
      <c r="BE657" s="117" t="s">
        <v>4996</v>
      </c>
      <c r="BF657" s="2"/>
      <c r="BG657" s="3"/>
      <c r="BH657" s="3"/>
      <c r="BI657" s="3"/>
      <c r="BJ657" s="3"/>
    </row>
    <row r="658" spans="1:62" ht="15">
      <c r="A658" s="66" t="s">
        <v>855</v>
      </c>
      <c r="B658" s="67"/>
      <c r="C658" s="67"/>
      <c r="D658" s="68">
        <v>50</v>
      </c>
      <c r="E658" s="70"/>
      <c r="F658" s="105" t="str">
        <f>HYPERLINK("https://yt3.ggpht.com/ytc/AIf8zZTzpZO5QgeuZ_wXGOx1vHgbUi_SuBbAWeiBJA=s88-c-k-c0x00ffffff-no-rj")</f>
        <v>https://yt3.ggpht.com/ytc/AIf8zZTzpZO5QgeuZ_wXGOx1vHgbUi_SuBbAWeiBJA=s88-c-k-c0x00ffffff-no-rj</v>
      </c>
      <c r="G658" s="67"/>
      <c r="H658" s="71" t="s">
        <v>3087</v>
      </c>
      <c r="I658" s="72"/>
      <c r="J658" s="72" t="s">
        <v>159</v>
      </c>
      <c r="K658" s="71" t="s">
        <v>3087</v>
      </c>
      <c r="L658" s="75">
        <v>1</v>
      </c>
      <c r="M658" s="76">
        <v>2774.89794921875</v>
      </c>
      <c r="N658" s="76">
        <v>5111.4541015625</v>
      </c>
      <c r="O658" s="77"/>
      <c r="P658" s="78"/>
      <c r="Q658" s="78"/>
      <c r="R658" s="90"/>
      <c r="S658" s="49">
        <v>0</v>
      </c>
      <c r="T658" s="49">
        <v>1</v>
      </c>
      <c r="U658" s="50">
        <v>0</v>
      </c>
      <c r="V658" s="50">
        <v>0.231785</v>
      </c>
      <c r="W658" s="51"/>
      <c r="X658" s="51"/>
      <c r="Y658" s="51"/>
      <c r="Z658" s="50"/>
      <c r="AA658" s="73">
        <v>658</v>
      </c>
      <c r="AB658" s="73"/>
      <c r="AC658" s="74"/>
      <c r="AD658" s="81" t="s">
        <v>3087</v>
      </c>
      <c r="AE658" s="81"/>
      <c r="AF658" s="81"/>
      <c r="AG658" s="81"/>
      <c r="AH658" s="81"/>
      <c r="AI658" s="81" t="s">
        <v>2321</v>
      </c>
      <c r="AJ658" s="88">
        <v>42582.71712962963</v>
      </c>
      <c r="AK658" s="86" t="str">
        <f>HYPERLINK("https://yt3.ggpht.com/ytc/AIf8zZTzpZO5QgeuZ_wXGOx1vHgbUi_SuBbAWeiBJA=s88-c-k-c0x00ffffff-no-rj")</f>
        <v>https://yt3.ggpht.com/ytc/AIf8zZTzpZO5QgeuZ_wXGOx1vHgbUi_SuBbAWeiBJA=s88-c-k-c0x00ffffff-no-rj</v>
      </c>
      <c r="AL658" s="81">
        <v>0</v>
      </c>
      <c r="AM658" s="81">
        <v>0</v>
      </c>
      <c r="AN658" s="81">
        <v>1</v>
      </c>
      <c r="AO658" s="81" t="b">
        <v>0</v>
      </c>
      <c r="AP658" s="81">
        <v>0</v>
      </c>
      <c r="AQ658" s="81"/>
      <c r="AR658" s="81"/>
      <c r="AS658" s="81" t="s">
        <v>3378</v>
      </c>
      <c r="AT658" s="86" t="str">
        <f>HYPERLINK("https://www.youtube.com/channel/UCPuvs9NGDH-1DVUa9KR2jUA")</f>
        <v>https://www.youtube.com/channel/UCPuvs9NGDH-1DVUa9KR2jUA</v>
      </c>
      <c r="AU658" s="81" t="str">
        <f>REPLACE(INDEX(GroupVertices[Group],MATCH("~"&amp;Vertices[[#This Row],[Vertex]],GroupVertices[Vertex],0)),1,1,"")</f>
        <v>1</v>
      </c>
      <c r="AV658" s="49"/>
      <c r="AW658" s="49"/>
      <c r="AX658" s="49"/>
      <c r="AY658" s="49"/>
      <c r="AZ658" s="49"/>
      <c r="BA658" s="49"/>
      <c r="BB658" s="117" t="s">
        <v>4315</v>
      </c>
      <c r="BC658" s="117" t="s">
        <v>4315</v>
      </c>
      <c r="BD658" s="117" t="s">
        <v>4997</v>
      </c>
      <c r="BE658" s="117" t="s">
        <v>4997</v>
      </c>
      <c r="BF658" s="2"/>
      <c r="BG658" s="3"/>
      <c r="BH658" s="3"/>
      <c r="BI658" s="3"/>
      <c r="BJ658" s="3"/>
    </row>
    <row r="659" spans="1:62" ht="15">
      <c r="A659" s="66" t="s">
        <v>856</v>
      </c>
      <c r="B659" s="67"/>
      <c r="C659" s="67"/>
      <c r="D659" s="68">
        <v>50</v>
      </c>
      <c r="E659" s="70"/>
      <c r="F659" s="105" t="str">
        <f>HYPERLINK("https://yt3.ggpht.com/ytc/AIf8zZS6t08HuU7kgXok-qVGkO4_xf2o9lW9XlmDKCgy1w=s88-c-k-c0x00ffffff-no-rj")</f>
        <v>https://yt3.ggpht.com/ytc/AIf8zZS6t08HuU7kgXok-qVGkO4_xf2o9lW9XlmDKCgy1w=s88-c-k-c0x00ffffff-no-rj</v>
      </c>
      <c r="G659" s="67"/>
      <c r="H659" s="71" t="s">
        <v>3088</v>
      </c>
      <c r="I659" s="72"/>
      <c r="J659" s="72" t="s">
        <v>159</v>
      </c>
      <c r="K659" s="71" t="s">
        <v>3088</v>
      </c>
      <c r="L659" s="75">
        <v>1</v>
      </c>
      <c r="M659" s="76">
        <v>2604.959228515625</v>
      </c>
      <c r="N659" s="76">
        <v>7854.255859375</v>
      </c>
      <c r="O659" s="77"/>
      <c r="P659" s="78"/>
      <c r="Q659" s="78"/>
      <c r="R659" s="90"/>
      <c r="S659" s="49">
        <v>0</v>
      </c>
      <c r="T659" s="49">
        <v>1</v>
      </c>
      <c r="U659" s="50">
        <v>0</v>
      </c>
      <c r="V659" s="50">
        <v>0.231785</v>
      </c>
      <c r="W659" s="51"/>
      <c r="X659" s="51"/>
      <c r="Y659" s="51"/>
      <c r="Z659" s="50"/>
      <c r="AA659" s="73">
        <v>659</v>
      </c>
      <c r="AB659" s="73"/>
      <c r="AC659" s="74"/>
      <c r="AD659" s="81" t="s">
        <v>3088</v>
      </c>
      <c r="AE659" s="81"/>
      <c r="AF659" s="81"/>
      <c r="AG659" s="81"/>
      <c r="AH659" s="81"/>
      <c r="AI659" s="81" t="s">
        <v>2322</v>
      </c>
      <c r="AJ659" s="88">
        <v>40843.432662037034</v>
      </c>
      <c r="AK659" s="86" t="str">
        <f>HYPERLINK("https://yt3.ggpht.com/ytc/AIf8zZS6t08HuU7kgXok-qVGkO4_xf2o9lW9XlmDKCgy1w=s88-c-k-c0x00ffffff-no-rj")</f>
        <v>https://yt3.ggpht.com/ytc/AIf8zZS6t08HuU7kgXok-qVGkO4_xf2o9lW9XlmDKCgy1w=s88-c-k-c0x00ffffff-no-rj</v>
      </c>
      <c r="AL659" s="81">
        <v>0</v>
      </c>
      <c r="AM659" s="81">
        <v>0</v>
      </c>
      <c r="AN659" s="81">
        <v>16</v>
      </c>
      <c r="AO659" s="81" t="b">
        <v>0</v>
      </c>
      <c r="AP659" s="81">
        <v>0</v>
      </c>
      <c r="AQ659" s="81"/>
      <c r="AR659" s="81"/>
      <c r="AS659" s="81" t="s">
        <v>3378</v>
      </c>
      <c r="AT659" s="86" t="str">
        <f>HYPERLINK("https://www.youtube.com/channel/UCDc09WaTE_hYAl69yyc1NUQ")</f>
        <v>https://www.youtube.com/channel/UCDc09WaTE_hYAl69yyc1NUQ</v>
      </c>
      <c r="AU659" s="81" t="str">
        <f>REPLACE(INDEX(GroupVertices[Group],MATCH("~"&amp;Vertices[[#This Row],[Vertex]],GroupVertices[Vertex],0)),1,1,"")</f>
        <v>1</v>
      </c>
      <c r="AV659" s="49"/>
      <c r="AW659" s="49"/>
      <c r="AX659" s="49"/>
      <c r="AY659" s="49"/>
      <c r="AZ659" s="49"/>
      <c r="BA659" s="49"/>
      <c r="BB659" s="117" t="s">
        <v>4316</v>
      </c>
      <c r="BC659" s="117" t="s">
        <v>4316</v>
      </c>
      <c r="BD659" s="117" t="s">
        <v>4998</v>
      </c>
      <c r="BE659" s="117" t="s">
        <v>4998</v>
      </c>
      <c r="BF659" s="2"/>
      <c r="BG659" s="3"/>
      <c r="BH659" s="3"/>
      <c r="BI659" s="3"/>
      <c r="BJ659" s="3"/>
    </row>
    <row r="660" spans="1:62" ht="15">
      <c r="A660" s="66" t="s">
        <v>857</v>
      </c>
      <c r="B660" s="67"/>
      <c r="C660" s="67"/>
      <c r="D660" s="68">
        <v>50</v>
      </c>
      <c r="E660" s="70"/>
      <c r="F660" s="105" t="str">
        <f>HYPERLINK("https://yt3.ggpht.com/ytc/AIf8zZQt3cwgB_bmQGe1HrtkOFU7bmROJF6Gw9d5OG1IKI4s9QBQrETkPPmZbTH3S1_M=s88-c-k-c0x00ffffff-no-rj")</f>
        <v>https://yt3.ggpht.com/ytc/AIf8zZQt3cwgB_bmQGe1HrtkOFU7bmROJF6Gw9d5OG1IKI4s9QBQrETkPPmZbTH3S1_M=s88-c-k-c0x00ffffff-no-rj</v>
      </c>
      <c r="G660" s="67"/>
      <c r="H660" s="71" t="s">
        <v>3089</v>
      </c>
      <c r="I660" s="72"/>
      <c r="J660" s="72" t="s">
        <v>159</v>
      </c>
      <c r="K660" s="71" t="s">
        <v>3089</v>
      </c>
      <c r="L660" s="75">
        <v>1</v>
      </c>
      <c r="M660" s="76">
        <v>1968.6256103515625</v>
      </c>
      <c r="N660" s="76">
        <v>4727.67578125</v>
      </c>
      <c r="O660" s="77"/>
      <c r="P660" s="78"/>
      <c r="Q660" s="78"/>
      <c r="R660" s="90"/>
      <c r="S660" s="49">
        <v>0</v>
      </c>
      <c r="T660" s="49">
        <v>1</v>
      </c>
      <c r="U660" s="50">
        <v>0</v>
      </c>
      <c r="V660" s="50">
        <v>0.231785</v>
      </c>
      <c r="W660" s="51"/>
      <c r="X660" s="51"/>
      <c r="Y660" s="51"/>
      <c r="Z660" s="50"/>
      <c r="AA660" s="73">
        <v>660</v>
      </c>
      <c r="AB660" s="73"/>
      <c r="AC660" s="74"/>
      <c r="AD660" s="81" t="s">
        <v>3089</v>
      </c>
      <c r="AE660" s="81"/>
      <c r="AF660" s="81"/>
      <c r="AG660" s="81"/>
      <c r="AH660" s="81"/>
      <c r="AI660" s="81" t="s">
        <v>2323</v>
      </c>
      <c r="AJ660" s="88">
        <v>44858.72655092592</v>
      </c>
      <c r="AK660" s="86" t="str">
        <f>HYPERLINK("https://yt3.ggpht.com/ytc/AIf8zZQt3cwgB_bmQGe1HrtkOFU7bmROJF6Gw9d5OG1IKI4s9QBQrETkPPmZbTH3S1_M=s88-c-k-c0x00ffffff-no-rj")</f>
        <v>https://yt3.ggpht.com/ytc/AIf8zZQt3cwgB_bmQGe1HrtkOFU7bmROJF6Gw9d5OG1IKI4s9QBQrETkPPmZbTH3S1_M=s88-c-k-c0x00ffffff-no-rj</v>
      </c>
      <c r="AL660" s="81">
        <v>0</v>
      </c>
      <c r="AM660" s="81">
        <v>0</v>
      </c>
      <c r="AN660" s="81">
        <v>2</v>
      </c>
      <c r="AO660" s="81" t="b">
        <v>0</v>
      </c>
      <c r="AP660" s="81">
        <v>0</v>
      </c>
      <c r="AQ660" s="81"/>
      <c r="AR660" s="81"/>
      <c r="AS660" s="81" t="s">
        <v>3378</v>
      </c>
      <c r="AT660" s="86" t="str">
        <f>HYPERLINK("https://www.youtube.com/channel/UCfo4TCSwn-FkwT8lKsFRRDw")</f>
        <v>https://www.youtube.com/channel/UCfo4TCSwn-FkwT8lKsFRRDw</v>
      </c>
      <c r="AU660" s="81" t="str">
        <f>REPLACE(INDEX(GroupVertices[Group],MATCH("~"&amp;Vertices[[#This Row],[Vertex]],GroupVertices[Vertex],0)),1,1,"")</f>
        <v>1</v>
      </c>
      <c r="AV660" s="49"/>
      <c r="AW660" s="49"/>
      <c r="AX660" s="49"/>
      <c r="AY660" s="49"/>
      <c r="AZ660" s="49"/>
      <c r="BA660" s="49"/>
      <c r="BB660" s="117" t="s">
        <v>4317</v>
      </c>
      <c r="BC660" s="117" t="s">
        <v>4317</v>
      </c>
      <c r="BD660" s="117" t="s">
        <v>4999</v>
      </c>
      <c r="BE660" s="117" t="s">
        <v>4999</v>
      </c>
      <c r="BF660" s="2"/>
      <c r="BG660" s="3"/>
      <c r="BH660" s="3"/>
      <c r="BI660" s="3"/>
      <c r="BJ660" s="3"/>
    </row>
    <row r="661" spans="1:62" ht="15">
      <c r="A661" s="66" t="s">
        <v>858</v>
      </c>
      <c r="B661" s="67"/>
      <c r="C661" s="67"/>
      <c r="D661" s="68">
        <v>50</v>
      </c>
      <c r="E661" s="70"/>
      <c r="F661" s="105" t="str">
        <f>HYPERLINK("https://yt3.ggpht.com/BhzLpUc-femYEPAcybn9ZF98HqxTipu1_Ayxx21_vi8VEaQmXSk4lUVPQ84tWOvYATSWUOohug=s88-c-k-c0x00ffffff-no-rj")</f>
        <v>https://yt3.ggpht.com/BhzLpUc-femYEPAcybn9ZF98HqxTipu1_Ayxx21_vi8VEaQmXSk4lUVPQ84tWOvYATSWUOohug=s88-c-k-c0x00ffffff-no-rj</v>
      </c>
      <c r="G661" s="67"/>
      <c r="H661" s="71" t="s">
        <v>3090</v>
      </c>
      <c r="I661" s="72"/>
      <c r="J661" s="72" t="s">
        <v>159</v>
      </c>
      <c r="K661" s="71" t="s">
        <v>3090</v>
      </c>
      <c r="L661" s="75">
        <v>1</v>
      </c>
      <c r="M661" s="76">
        <v>2173.433837890625</v>
      </c>
      <c r="N661" s="76">
        <v>5619.56396484375</v>
      </c>
      <c r="O661" s="77"/>
      <c r="P661" s="78"/>
      <c r="Q661" s="78"/>
      <c r="R661" s="90"/>
      <c r="S661" s="49">
        <v>0</v>
      </c>
      <c r="T661" s="49">
        <v>1</v>
      </c>
      <c r="U661" s="50">
        <v>0</v>
      </c>
      <c r="V661" s="50">
        <v>0.231785</v>
      </c>
      <c r="W661" s="51"/>
      <c r="X661" s="51"/>
      <c r="Y661" s="51"/>
      <c r="Z661" s="50"/>
      <c r="AA661" s="73">
        <v>661</v>
      </c>
      <c r="AB661" s="73"/>
      <c r="AC661" s="74"/>
      <c r="AD661" s="81" t="s">
        <v>3090</v>
      </c>
      <c r="AE661" s="81" t="s">
        <v>3221</v>
      </c>
      <c r="AF661" s="81"/>
      <c r="AG661" s="81"/>
      <c r="AH661" s="81"/>
      <c r="AI661" s="81" t="s">
        <v>2324</v>
      </c>
      <c r="AJ661" s="88">
        <v>40098.0284837963</v>
      </c>
      <c r="AK661" s="86" t="str">
        <f>HYPERLINK("https://yt3.ggpht.com/BhzLpUc-femYEPAcybn9ZF98HqxTipu1_Ayxx21_vi8VEaQmXSk4lUVPQ84tWOvYATSWUOohug=s88-c-k-c0x00ffffff-no-rj")</f>
        <v>https://yt3.ggpht.com/BhzLpUc-femYEPAcybn9ZF98HqxTipu1_Ayxx21_vi8VEaQmXSk4lUVPQ84tWOvYATSWUOohug=s88-c-k-c0x00ffffff-no-rj</v>
      </c>
      <c r="AL661" s="81">
        <v>71715</v>
      </c>
      <c r="AM661" s="81">
        <v>0</v>
      </c>
      <c r="AN661" s="81">
        <v>212</v>
      </c>
      <c r="AO661" s="81" t="b">
        <v>0</v>
      </c>
      <c r="AP661" s="81">
        <v>29</v>
      </c>
      <c r="AQ661" s="81"/>
      <c r="AR661" s="81"/>
      <c r="AS661" s="81" t="s">
        <v>3378</v>
      </c>
      <c r="AT661" s="86" t="str">
        <f>HYPERLINK("https://www.youtube.com/channel/UCSCluX-J1OJ5pfDuFj2dbCQ")</f>
        <v>https://www.youtube.com/channel/UCSCluX-J1OJ5pfDuFj2dbCQ</v>
      </c>
      <c r="AU661" s="81" t="str">
        <f>REPLACE(INDEX(GroupVertices[Group],MATCH("~"&amp;Vertices[[#This Row],[Vertex]],GroupVertices[Vertex],0)),1,1,"")</f>
        <v>1</v>
      </c>
      <c r="AV661" s="49"/>
      <c r="AW661" s="49"/>
      <c r="AX661" s="49"/>
      <c r="AY661" s="49"/>
      <c r="AZ661" s="49"/>
      <c r="BA661" s="49"/>
      <c r="BB661" s="117" t="s">
        <v>4318</v>
      </c>
      <c r="BC661" s="117" t="s">
        <v>4318</v>
      </c>
      <c r="BD661" s="117" t="s">
        <v>5000</v>
      </c>
      <c r="BE661" s="117" t="s">
        <v>5000</v>
      </c>
      <c r="BF661" s="2"/>
      <c r="BG661" s="3"/>
      <c r="BH661" s="3"/>
      <c r="BI661" s="3"/>
      <c r="BJ661" s="3"/>
    </row>
    <row r="662" spans="1:62" ht="15">
      <c r="A662" s="66" t="s">
        <v>859</v>
      </c>
      <c r="B662" s="67"/>
      <c r="C662" s="67"/>
      <c r="D662" s="68">
        <v>50</v>
      </c>
      <c r="E662" s="70"/>
      <c r="F662" s="105" t="str">
        <f>HYPERLINK("https://yt3.ggpht.com/ytc/AIf8zZQBPZmU87pOfqfcHIk5kGW6n3GBnBL0tlejSu8O=s88-c-k-c0x00ffffff-no-rj")</f>
        <v>https://yt3.ggpht.com/ytc/AIf8zZQBPZmU87pOfqfcHIk5kGW6n3GBnBL0tlejSu8O=s88-c-k-c0x00ffffff-no-rj</v>
      </c>
      <c r="G662" s="67"/>
      <c r="H662" s="71" t="s">
        <v>3091</v>
      </c>
      <c r="I662" s="72"/>
      <c r="J662" s="72" t="s">
        <v>159</v>
      </c>
      <c r="K662" s="71" t="s">
        <v>3091</v>
      </c>
      <c r="L662" s="75">
        <v>1</v>
      </c>
      <c r="M662" s="76">
        <v>1795.5987548828125</v>
      </c>
      <c r="N662" s="76">
        <v>4467.71240234375</v>
      </c>
      <c r="O662" s="77"/>
      <c r="P662" s="78"/>
      <c r="Q662" s="78"/>
      <c r="R662" s="90"/>
      <c r="S662" s="49">
        <v>0</v>
      </c>
      <c r="T662" s="49">
        <v>1</v>
      </c>
      <c r="U662" s="50">
        <v>0</v>
      </c>
      <c r="V662" s="50">
        <v>0.231785</v>
      </c>
      <c r="W662" s="51"/>
      <c r="X662" s="51"/>
      <c r="Y662" s="51"/>
      <c r="Z662" s="50"/>
      <c r="AA662" s="73">
        <v>662</v>
      </c>
      <c r="AB662" s="73"/>
      <c r="AC662" s="74"/>
      <c r="AD662" s="81" t="s">
        <v>3091</v>
      </c>
      <c r="AE662" s="81" t="s">
        <v>3222</v>
      </c>
      <c r="AF662" s="81"/>
      <c r="AG662" s="81"/>
      <c r="AH662" s="81"/>
      <c r="AI662" s="81" t="s">
        <v>2325</v>
      </c>
      <c r="AJ662" s="88">
        <v>42261.443240740744</v>
      </c>
      <c r="AK662" s="86" t="str">
        <f>HYPERLINK("https://yt3.ggpht.com/ytc/AIf8zZQBPZmU87pOfqfcHIk5kGW6n3GBnBL0tlejSu8O=s88-c-k-c0x00ffffff-no-rj")</f>
        <v>https://yt3.ggpht.com/ytc/AIf8zZQBPZmU87pOfqfcHIk5kGW6n3GBnBL0tlejSu8O=s88-c-k-c0x00ffffff-no-rj</v>
      </c>
      <c r="AL662" s="81">
        <v>1314</v>
      </c>
      <c r="AM662" s="81">
        <v>0</v>
      </c>
      <c r="AN662" s="81">
        <v>6</v>
      </c>
      <c r="AO662" s="81" t="b">
        <v>0</v>
      </c>
      <c r="AP662" s="81">
        <v>10</v>
      </c>
      <c r="AQ662" s="81"/>
      <c r="AR662" s="81"/>
      <c r="AS662" s="81" t="s">
        <v>3378</v>
      </c>
      <c r="AT662" s="86" t="str">
        <f>HYPERLINK("https://www.youtube.com/channel/UCiO6J252zil7xn5pQvZtR6Q")</f>
        <v>https://www.youtube.com/channel/UCiO6J252zil7xn5pQvZtR6Q</v>
      </c>
      <c r="AU662" s="81" t="str">
        <f>REPLACE(INDEX(GroupVertices[Group],MATCH("~"&amp;Vertices[[#This Row],[Vertex]],GroupVertices[Vertex],0)),1,1,"")</f>
        <v>1</v>
      </c>
      <c r="AV662" s="49"/>
      <c r="AW662" s="49"/>
      <c r="AX662" s="49"/>
      <c r="AY662" s="49"/>
      <c r="AZ662" s="49"/>
      <c r="BA662" s="49"/>
      <c r="BB662" s="117" t="s">
        <v>4319</v>
      </c>
      <c r="BC662" s="117" t="s">
        <v>4384</v>
      </c>
      <c r="BD662" s="117" t="s">
        <v>5001</v>
      </c>
      <c r="BE662" s="117" t="s">
        <v>5001</v>
      </c>
      <c r="BF662" s="2"/>
      <c r="BG662" s="3"/>
      <c r="BH662" s="3"/>
      <c r="BI662" s="3"/>
      <c r="BJ662" s="3"/>
    </row>
    <row r="663" spans="1:62" ht="15">
      <c r="A663" s="66" t="s">
        <v>860</v>
      </c>
      <c r="B663" s="67"/>
      <c r="C663" s="67"/>
      <c r="D663" s="68">
        <v>50</v>
      </c>
      <c r="E663" s="70"/>
      <c r="F663" s="105" t="str">
        <f>HYPERLINK("https://yt3.ggpht.com/ytc/AIf8zZQaCsScfFEuBZnZqgpkUlaIR36eMadqyMXbwVhQfh_hM0PmyUzmsuRKRoA7bI-R=s88-c-k-c0x00ffffff-no-rj")</f>
        <v>https://yt3.ggpht.com/ytc/AIf8zZQaCsScfFEuBZnZqgpkUlaIR36eMadqyMXbwVhQfh_hM0PmyUzmsuRKRoA7bI-R=s88-c-k-c0x00ffffff-no-rj</v>
      </c>
      <c r="G663" s="67"/>
      <c r="H663" s="71" t="s">
        <v>3092</v>
      </c>
      <c r="I663" s="72"/>
      <c r="J663" s="72" t="s">
        <v>159</v>
      </c>
      <c r="K663" s="71" t="s">
        <v>3092</v>
      </c>
      <c r="L663" s="75">
        <v>1</v>
      </c>
      <c r="M663" s="76">
        <v>2519.375732421875</v>
      </c>
      <c r="N663" s="76">
        <v>6366.78076171875</v>
      </c>
      <c r="O663" s="77"/>
      <c r="P663" s="78"/>
      <c r="Q663" s="78"/>
      <c r="R663" s="90"/>
      <c r="S663" s="49">
        <v>0</v>
      </c>
      <c r="T663" s="49">
        <v>1</v>
      </c>
      <c r="U663" s="50">
        <v>0</v>
      </c>
      <c r="V663" s="50">
        <v>0.231785</v>
      </c>
      <c r="W663" s="51"/>
      <c r="X663" s="51"/>
      <c r="Y663" s="51"/>
      <c r="Z663" s="50"/>
      <c r="AA663" s="73">
        <v>663</v>
      </c>
      <c r="AB663" s="73"/>
      <c r="AC663" s="74"/>
      <c r="AD663" s="81" t="s">
        <v>3092</v>
      </c>
      <c r="AE663" s="81"/>
      <c r="AF663" s="81"/>
      <c r="AG663" s="81"/>
      <c r="AH663" s="81"/>
      <c r="AI663" s="81" t="s">
        <v>2326</v>
      </c>
      <c r="AJ663" s="88">
        <v>44457.320752314816</v>
      </c>
      <c r="AK663" s="86" t="str">
        <f>HYPERLINK("https://yt3.ggpht.com/ytc/AIf8zZQaCsScfFEuBZnZqgpkUlaIR36eMadqyMXbwVhQfh_hM0PmyUzmsuRKRoA7bI-R=s88-c-k-c0x00ffffff-no-rj")</f>
        <v>https://yt3.ggpht.com/ytc/AIf8zZQaCsScfFEuBZnZqgpkUlaIR36eMadqyMXbwVhQfh_hM0PmyUzmsuRKRoA7bI-R=s88-c-k-c0x00ffffff-no-rj</v>
      </c>
      <c r="AL663" s="81">
        <v>0</v>
      </c>
      <c r="AM663" s="81">
        <v>0</v>
      </c>
      <c r="AN663" s="81">
        <v>1</v>
      </c>
      <c r="AO663" s="81" t="b">
        <v>0</v>
      </c>
      <c r="AP663" s="81">
        <v>0</v>
      </c>
      <c r="AQ663" s="81"/>
      <c r="AR663" s="81"/>
      <c r="AS663" s="81" t="s">
        <v>3378</v>
      </c>
      <c r="AT663" s="86" t="str">
        <f>HYPERLINK("https://www.youtube.com/channel/UCydZ_vheV40jNQvCO5bninQ")</f>
        <v>https://www.youtube.com/channel/UCydZ_vheV40jNQvCO5bninQ</v>
      </c>
      <c r="AU663" s="81" t="str">
        <f>REPLACE(INDEX(GroupVertices[Group],MATCH("~"&amp;Vertices[[#This Row],[Vertex]],GroupVertices[Vertex],0)),1,1,"")</f>
        <v>1</v>
      </c>
      <c r="AV663" s="49"/>
      <c r="AW663" s="49"/>
      <c r="AX663" s="49"/>
      <c r="AY663" s="49"/>
      <c r="AZ663" s="49"/>
      <c r="BA663" s="49"/>
      <c r="BB663" s="117" t="s">
        <v>4320</v>
      </c>
      <c r="BC663" s="117" t="s">
        <v>4320</v>
      </c>
      <c r="BD663" s="117" t="s">
        <v>5002</v>
      </c>
      <c r="BE663" s="117" t="s">
        <v>5002</v>
      </c>
      <c r="BF663" s="2"/>
      <c r="BG663" s="3"/>
      <c r="BH663" s="3"/>
      <c r="BI663" s="3"/>
      <c r="BJ663" s="3"/>
    </row>
    <row r="664" spans="1:62" ht="15">
      <c r="A664" s="66" t="s">
        <v>861</v>
      </c>
      <c r="B664" s="67"/>
      <c r="C664" s="67"/>
      <c r="D664" s="68">
        <v>50</v>
      </c>
      <c r="E664" s="70"/>
      <c r="F664" s="105" t="str">
        <f>HYPERLINK("https://yt3.ggpht.com/9YBmXPj4PbEVbWZtMSj5cTH3hERvZLw68Xm5dyBgs93n2MNlYZdbB2IUZsPO4uwzhO1bh9dO=s88-c-k-c0x00ffffff-no-rj")</f>
        <v>https://yt3.ggpht.com/9YBmXPj4PbEVbWZtMSj5cTH3hERvZLw68Xm5dyBgs93n2MNlYZdbB2IUZsPO4uwzhO1bh9dO=s88-c-k-c0x00ffffff-no-rj</v>
      </c>
      <c r="G664" s="67"/>
      <c r="H664" s="71" t="s">
        <v>3093</v>
      </c>
      <c r="I664" s="72"/>
      <c r="J664" s="72" t="s">
        <v>159</v>
      </c>
      <c r="K664" s="71" t="s">
        <v>3093</v>
      </c>
      <c r="L664" s="75">
        <v>1</v>
      </c>
      <c r="M664" s="76">
        <v>3273.478515625</v>
      </c>
      <c r="N664" s="76">
        <v>8679.3212890625</v>
      </c>
      <c r="O664" s="77"/>
      <c r="P664" s="78"/>
      <c r="Q664" s="78"/>
      <c r="R664" s="90"/>
      <c r="S664" s="49">
        <v>0</v>
      </c>
      <c r="T664" s="49">
        <v>1</v>
      </c>
      <c r="U664" s="50">
        <v>0</v>
      </c>
      <c r="V664" s="50">
        <v>0.231785</v>
      </c>
      <c r="W664" s="51"/>
      <c r="X664" s="51"/>
      <c r="Y664" s="51"/>
      <c r="Z664" s="50"/>
      <c r="AA664" s="73">
        <v>664</v>
      </c>
      <c r="AB664" s="73"/>
      <c r="AC664" s="74"/>
      <c r="AD664" s="81" t="s">
        <v>3093</v>
      </c>
      <c r="AE664" s="81"/>
      <c r="AF664" s="81"/>
      <c r="AG664" s="81"/>
      <c r="AH664" s="81"/>
      <c r="AI664" s="81" t="s">
        <v>2327</v>
      </c>
      <c r="AJ664" s="88">
        <v>41511.65719907408</v>
      </c>
      <c r="AK664" s="86" t="str">
        <f>HYPERLINK("https://yt3.ggpht.com/9YBmXPj4PbEVbWZtMSj5cTH3hERvZLw68Xm5dyBgs93n2MNlYZdbB2IUZsPO4uwzhO1bh9dO=s88-c-k-c0x00ffffff-no-rj")</f>
        <v>https://yt3.ggpht.com/9YBmXPj4PbEVbWZtMSj5cTH3hERvZLw68Xm5dyBgs93n2MNlYZdbB2IUZsPO4uwzhO1bh9dO=s88-c-k-c0x00ffffff-no-rj</v>
      </c>
      <c r="AL664" s="81">
        <v>0</v>
      </c>
      <c r="AM664" s="81">
        <v>0</v>
      </c>
      <c r="AN664" s="81">
        <v>0</v>
      </c>
      <c r="AO664" s="81" t="b">
        <v>0</v>
      </c>
      <c r="AP664" s="81">
        <v>0</v>
      </c>
      <c r="AQ664" s="81"/>
      <c r="AR664" s="81"/>
      <c r="AS664" s="81" t="s">
        <v>3378</v>
      </c>
      <c r="AT664" s="86" t="str">
        <f>HYPERLINK("https://www.youtube.com/channel/UCt8YLD-H1HnHt7XV4KSFTTg")</f>
        <v>https://www.youtube.com/channel/UCt8YLD-H1HnHt7XV4KSFTTg</v>
      </c>
      <c r="AU664" s="81" t="str">
        <f>REPLACE(INDEX(GroupVertices[Group],MATCH("~"&amp;Vertices[[#This Row],[Vertex]],GroupVertices[Vertex],0)),1,1,"")</f>
        <v>1</v>
      </c>
      <c r="AV664" s="49"/>
      <c r="AW664" s="49"/>
      <c r="AX664" s="49"/>
      <c r="AY664" s="49"/>
      <c r="AZ664" s="49"/>
      <c r="BA664" s="49"/>
      <c r="BB664" s="117" t="s">
        <v>4321</v>
      </c>
      <c r="BC664" s="117" t="s">
        <v>4321</v>
      </c>
      <c r="BD664" s="117" t="s">
        <v>5003</v>
      </c>
      <c r="BE664" s="117" t="s">
        <v>5003</v>
      </c>
      <c r="BF664" s="2"/>
      <c r="BG664" s="3"/>
      <c r="BH664" s="3"/>
      <c r="BI664" s="3"/>
      <c r="BJ664" s="3"/>
    </row>
    <row r="665" spans="1:62" ht="15">
      <c r="A665" s="66" t="s">
        <v>862</v>
      </c>
      <c r="B665" s="67"/>
      <c r="C665" s="67"/>
      <c r="D665" s="68">
        <v>50</v>
      </c>
      <c r="E665" s="70"/>
      <c r="F665" s="105" t="str">
        <f>HYPERLINK("https://yt3.ggpht.com/ytc/AIf8zZSQZt4vcvIbKKAqY8Tgt1-3gRxLC79rk5rL=s88-c-k-c0x00ffffff-no-rj")</f>
        <v>https://yt3.ggpht.com/ytc/AIf8zZSQZt4vcvIbKKAqY8Tgt1-3gRxLC79rk5rL=s88-c-k-c0x00ffffff-no-rj</v>
      </c>
      <c r="G665" s="67"/>
      <c r="H665" s="71" t="s">
        <v>3094</v>
      </c>
      <c r="I665" s="72"/>
      <c r="J665" s="72" t="s">
        <v>159</v>
      </c>
      <c r="K665" s="71" t="s">
        <v>3094</v>
      </c>
      <c r="L665" s="75">
        <v>1</v>
      </c>
      <c r="M665" s="76">
        <v>1636.5400390625</v>
      </c>
      <c r="N665" s="76">
        <v>7815.57568359375</v>
      </c>
      <c r="O665" s="77"/>
      <c r="P665" s="78"/>
      <c r="Q665" s="78"/>
      <c r="R665" s="90"/>
      <c r="S665" s="49">
        <v>0</v>
      </c>
      <c r="T665" s="49">
        <v>1</v>
      </c>
      <c r="U665" s="50">
        <v>0</v>
      </c>
      <c r="V665" s="50">
        <v>0.231785</v>
      </c>
      <c r="W665" s="51"/>
      <c r="X665" s="51"/>
      <c r="Y665" s="51"/>
      <c r="Z665" s="50"/>
      <c r="AA665" s="73">
        <v>665</v>
      </c>
      <c r="AB665" s="73"/>
      <c r="AC665" s="74"/>
      <c r="AD665" s="81" t="s">
        <v>3094</v>
      </c>
      <c r="AE665" s="81"/>
      <c r="AF665" s="81"/>
      <c r="AG665" s="81"/>
      <c r="AH665" s="81"/>
      <c r="AI665" s="81" t="s">
        <v>3370</v>
      </c>
      <c r="AJ665" s="88">
        <v>42240.03091435185</v>
      </c>
      <c r="AK665" s="86" t="str">
        <f>HYPERLINK("https://yt3.ggpht.com/ytc/AIf8zZSQZt4vcvIbKKAqY8Tgt1-3gRxLC79rk5rL=s88-c-k-c0x00ffffff-no-rj")</f>
        <v>https://yt3.ggpht.com/ytc/AIf8zZSQZt4vcvIbKKAqY8Tgt1-3gRxLC79rk5rL=s88-c-k-c0x00ffffff-no-rj</v>
      </c>
      <c r="AL665" s="81">
        <v>0</v>
      </c>
      <c r="AM665" s="81">
        <v>0</v>
      </c>
      <c r="AN665" s="81">
        <v>4</v>
      </c>
      <c r="AO665" s="81" t="b">
        <v>0</v>
      </c>
      <c r="AP665" s="81">
        <v>0</v>
      </c>
      <c r="AQ665" s="81"/>
      <c r="AR665" s="81"/>
      <c r="AS665" s="81" t="s">
        <v>3378</v>
      </c>
      <c r="AT665" s="86" t="str">
        <f>HYPERLINK("https://www.youtube.com/channel/UCT6zkhfmyMOyPyKmEaul9CQ")</f>
        <v>https://www.youtube.com/channel/UCT6zkhfmyMOyPyKmEaul9CQ</v>
      </c>
      <c r="AU665" s="81" t="str">
        <f>REPLACE(INDEX(GroupVertices[Group],MATCH("~"&amp;Vertices[[#This Row],[Vertex]],GroupVertices[Vertex],0)),1,1,"")</f>
        <v>1</v>
      </c>
      <c r="AV665" s="49"/>
      <c r="AW665" s="49"/>
      <c r="AX665" s="49"/>
      <c r="AY665" s="49"/>
      <c r="AZ665" s="49"/>
      <c r="BA665" s="49"/>
      <c r="BB665" s="117" t="s">
        <v>4322</v>
      </c>
      <c r="BC665" s="117" t="s">
        <v>4322</v>
      </c>
      <c r="BD665" s="117" t="s">
        <v>5004</v>
      </c>
      <c r="BE665" s="117" t="s">
        <v>5004</v>
      </c>
      <c r="BF665" s="2"/>
      <c r="BG665" s="3"/>
      <c r="BH665" s="3"/>
      <c r="BI665" s="3"/>
      <c r="BJ665" s="3"/>
    </row>
    <row r="666" spans="1:62" ht="15">
      <c r="A666" s="66" t="s">
        <v>863</v>
      </c>
      <c r="B666" s="67"/>
      <c r="C666" s="67"/>
      <c r="D666" s="68">
        <v>50</v>
      </c>
      <c r="E666" s="70"/>
      <c r="F666" s="105" t="str">
        <f>HYPERLINK("https://yt3.ggpht.com/tQZ4mkDzmydLMM5-R6fgeJIY56NV51Cs4HTZ1ykYJS0pMP29VhnsiS_0udrWBn-qRfnr4YJC=s88-c-k-c0x00ffffff-no-rj")</f>
        <v>https://yt3.ggpht.com/tQZ4mkDzmydLMM5-R6fgeJIY56NV51Cs4HTZ1ykYJS0pMP29VhnsiS_0udrWBn-qRfnr4YJC=s88-c-k-c0x00ffffff-no-rj</v>
      </c>
      <c r="G666" s="67"/>
      <c r="H666" s="71" t="s">
        <v>3095</v>
      </c>
      <c r="I666" s="72"/>
      <c r="J666" s="72" t="s">
        <v>159</v>
      </c>
      <c r="K666" s="71" t="s">
        <v>3095</v>
      </c>
      <c r="L666" s="75">
        <v>1</v>
      </c>
      <c r="M666" s="76">
        <v>2492.2568359375</v>
      </c>
      <c r="N666" s="76">
        <v>4150.02294921875</v>
      </c>
      <c r="O666" s="77"/>
      <c r="P666" s="78"/>
      <c r="Q666" s="78"/>
      <c r="R666" s="90"/>
      <c r="S666" s="49">
        <v>0</v>
      </c>
      <c r="T666" s="49">
        <v>1</v>
      </c>
      <c r="U666" s="50">
        <v>0</v>
      </c>
      <c r="V666" s="50">
        <v>0.231785</v>
      </c>
      <c r="W666" s="51"/>
      <c r="X666" s="51"/>
      <c r="Y666" s="51"/>
      <c r="Z666" s="50"/>
      <c r="AA666" s="73">
        <v>666</v>
      </c>
      <c r="AB666" s="73"/>
      <c r="AC666" s="74"/>
      <c r="AD666" s="81" t="s">
        <v>3095</v>
      </c>
      <c r="AE666" s="81" t="s">
        <v>3223</v>
      </c>
      <c r="AF666" s="81"/>
      <c r="AG666" s="81"/>
      <c r="AH666" s="81"/>
      <c r="AI666" s="81" t="s">
        <v>2329</v>
      </c>
      <c r="AJ666" s="88">
        <v>44923.5393287037</v>
      </c>
      <c r="AK666" s="86" t="str">
        <f>HYPERLINK("https://yt3.ggpht.com/tQZ4mkDzmydLMM5-R6fgeJIY56NV51Cs4HTZ1ykYJS0pMP29VhnsiS_0udrWBn-qRfnr4YJC=s88-c-k-c0x00ffffff-no-rj")</f>
        <v>https://yt3.ggpht.com/tQZ4mkDzmydLMM5-R6fgeJIY56NV51Cs4HTZ1ykYJS0pMP29VhnsiS_0udrWBn-qRfnr4YJC=s88-c-k-c0x00ffffff-no-rj</v>
      </c>
      <c r="AL666" s="81">
        <v>45</v>
      </c>
      <c r="AM666" s="81">
        <v>0</v>
      </c>
      <c r="AN666" s="81">
        <v>3</v>
      </c>
      <c r="AO666" s="81" t="b">
        <v>0</v>
      </c>
      <c r="AP666" s="81">
        <v>12</v>
      </c>
      <c r="AQ666" s="81"/>
      <c r="AR666" s="81"/>
      <c r="AS666" s="81" t="s">
        <v>3378</v>
      </c>
      <c r="AT666" s="86" t="str">
        <f>HYPERLINK("https://www.youtube.com/channel/UCGZqx4Afuf5c5MocCJ_QSsQ")</f>
        <v>https://www.youtube.com/channel/UCGZqx4Afuf5c5MocCJ_QSsQ</v>
      </c>
      <c r="AU666" s="81" t="str">
        <f>REPLACE(INDEX(GroupVertices[Group],MATCH("~"&amp;Vertices[[#This Row],[Vertex]],GroupVertices[Vertex],0)),1,1,"")</f>
        <v>1</v>
      </c>
      <c r="AV666" s="49"/>
      <c r="AW666" s="49"/>
      <c r="AX666" s="49"/>
      <c r="AY666" s="49"/>
      <c r="AZ666" s="49"/>
      <c r="BA666" s="49"/>
      <c r="BB666" s="117" t="s">
        <v>4323</v>
      </c>
      <c r="BC666" s="117" t="s">
        <v>4323</v>
      </c>
      <c r="BD666" s="117" t="s">
        <v>5005</v>
      </c>
      <c r="BE666" s="117" t="s">
        <v>5005</v>
      </c>
      <c r="BF666" s="2"/>
      <c r="BG666" s="3"/>
      <c r="BH666" s="3"/>
      <c r="BI666" s="3"/>
      <c r="BJ666" s="3"/>
    </row>
    <row r="667" spans="1:62" ht="15">
      <c r="A667" s="66" t="s">
        <v>864</v>
      </c>
      <c r="B667" s="67"/>
      <c r="C667" s="67"/>
      <c r="D667" s="68">
        <v>50</v>
      </c>
      <c r="E667" s="70"/>
      <c r="F667" s="105" t="str">
        <f>HYPERLINK("https://yt3.ggpht.com/ytc/AIf8zZRpd1i8X5i6YQ5kb5M3aisgLElQd827blCsYA=s88-c-k-c0x00ffffff-no-rj")</f>
        <v>https://yt3.ggpht.com/ytc/AIf8zZRpd1i8X5i6YQ5kb5M3aisgLElQd827blCsYA=s88-c-k-c0x00ffffff-no-rj</v>
      </c>
      <c r="G667" s="67"/>
      <c r="H667" s="71" t="s">
        <v>3096</v>
      </c>
      <c r="I667" s="72"/>
      <c r="J667" s="72" t="s">
        <v>159</v>
      </c>
      <c r="K667" s="71" t="s">
        <v>3096</v>
      </c>
      <c r="L667" s="75">
        <v>1</v>
      </c>
      <c r="M667" s="76">
        <v>403.5146484375</v>
      </c>
      <c r="N667" s="76">
        <v>8215.5126953125</v>
      </c>
      <c r="O667" s="77"/>
      <c r="P667" s="78"/>
      <c r="Q667" s="78"/>
      <c r="R667" s="90"/>
      <c r="S667" s="49">
        <v>0</v>
      </c>
      <c r="T667" s="49">
        <v>1</v>
      </c>
      <c r="U667" s="50">
        <v>0</v>
      </c>
      <c r="V667" s="50">
        <v>0.231785</v>
      </c>
      <c r="W667" s="51"/>
      <c r="X667" s="51"/>
      <c r="Y667" s="51"/>
      <c r="Z667" s="50"/>
      <c r="AA667" s="73">
        <v>667</v>
      </c>
      <c r="AB667" s="73"/>
      <c r="AC667" s="74"/>
      <c r="AD667" s="81" t="s">
        <v>3096</v>
      </c>
      <c r="AE667" s="81"/>
      <c r="AF667" s="81"/>
      <c r="AG667" s="81"/>
      <c r="AH667" s="81"/>
      <c r="AI667" s="81" t="s">
        <v>2330</v>
      </c>
      <c r="AJ667" s="88">
        <v>41516.55881944444</v>
      </c>
      <c r="AK667" s="86" t="str">
        <f>HYPERLINK("https://yt3.ggpht.com/ytc/AIf8zZRpd1i8X5i6YQ5kb5M3aisgLElQd827blCsYA=s88-c-k-c0x00ffffff-no-rj")</f>
        <v>https://yt3.ggpht.com/ytc/AIf8zZRpd1i8X5i6YQ5kb5M3aisgLElQd827blCsYA=s88-c-k-c0x00ffffff-no-rj</v>
      </c>
      <c r="AL667" s="81">
        <v>0</v>
      </c>
      <c r="AM667" s="81">
        <v>0</v>
      </c>
      <c r="AN667" s="81">
        <v>0</v>
      </c>
      <c r="AO667" s="81" t="b">
        <v>0</v>
      </c>
      <c r="AP667" s="81">
        <v>0</v>
      </c>
      <c r="AQ667" s="81"/>
      <c r="AR667" s="81"/>
      <c r="AS667" s="81" t="s">
        <v>3378</v>
      </c>
      <c r="AT667" s="86" t="str">
        <f>HYPERLINK("https://www.youtube.com/channel/UCD7eQf0ZWr0mfvtV0jU3dbw")</f>
        <v>https://www.youtube.com/channel/UCD7eQf0ZWr0mfvtV0jU3dbw</v>
      </c>
      <c r="AU667" s="81" t="str">
        <f>REPLACE(INDEX(GroupVertices[Group],MATCH("~"&amp;Vertices[[#This Row],[Vertex]],GroupVertices[Vertex],0)),1,1,"")</f>
        <v>1</v>
      </c>
      <c r="AV667" s="49" t="s">
        <v>3460</v>
      </c>
      <c r="AW667" s="49" t="s">
        <v>3460</v>
      </c>
      <c r="AX667" s="49" t="s">
        <v>2414</v>
      </c>
      <c r="AY667" s="49" t="s">
        <v>2414</v>
      </c>
      <c r="AZ667" s="49"/>
      <c r="BA667" s="49"/>
      <c r="BB667" s="117" t="s">
        <v>4324</v>
      </c>
      <c r="BC667" s="117" t="s">
        <v>4324</v>
      </c>
      <c r="BD667" s="117" t="s">
        <v>5006</v>
      </c>
      <c r="BE667" s="117" t="s">
        <v>5006</v>
      </c>
      <c r="BF667" s="2"/>
      <c r="BG667" s="3"/>
      <c r="BH667" s="3"/>
      <c r="BI667" s="3"/>
      <c r="BJ667" s="3"/>
    </row>
    <row r="668" spans="1:62" ht="15">
      <c r="A668" s="66" t="s">
        <v>865</v>
      </c>
      <c r="B668" s="67"/>
      <c r="C668" s="67"/>
      <c r="D668" s="68">
        <v>50</v>
      </c>
      <c r="E668" s="70"/>
      <c r="F668" s="105" t="str">
        <f>HYPERLINK("https://yt3.ggpht.com/ytc/AIf8zZQ3QbaIDEIkUXZXycjxU8Ul2aMFyaQnXZRkFPjKjg=s88-c-k-c0x00ffffff-no-rj")</f>
        <v>https://yt3.ggpht.com/ytc/AIf8zZQ3QbaIDEIkUXZXycjxU8Ul2aMFyaQnXZRkFPjKjg=s88-c-k-c0x00ffffff-no-rj</v>
      </c>
      <c r="G668" s="67"/>
      <c r="H668" s="71" t="s">
        <v>3097</v>
      </c>
      <c r="I668" s="72"/>
      <c r="J668" s="72" t="s">
        <v>159</v>
      </c>
      <c r="K668" s="71" t="s">
        <v>3097</v>
      </c>
      <c r="L668" s="75">
        <v>1</v>
      </c>
      <c r="M668" s="76">
        <v>121.49299621582031</v>
      </c>
      <c r="N668" s="76">
        <v>7017.5751953125</v>
      </c>
      <c r="O668" s="77"/>
      <c r="P668" s="78"/>
      <c r="Q668" s="78"/>
      <c r="R668" s="90"/>
      <c r="S668" s="49">
        <v>0</v>
      </c>
      <c r="T668" s="49">
        <v>1</v>
      </c>
      <c r="U668" s="50">
        <v>0</v>
      </c>
      <c r="V668" s="50">
        <v>0.231785</v>
      </c>
      <c r="W668" s="51"/>
      <c r="X668" s="51"/>
      <c r="Y668" s="51"/>
      <c r="Z668" s="50"/>
      <c r="AA668" s="73">
        <v>668</v>
      </c>
      <c r="AB668" s="73"/>
      <c r="AC668" s="74"/>
      <c r="AD668" s="81" t="s">
        <v>3097</v>
      </c>
      <c r="AE668" s="81"/>
      <c r="AF668" s="81"/>
      <c r="AG668" s="81"/>
      <c r="AH668" s="81"/>
      <c r="AI668" s="81" t="s">
        <v>2331</v>
      </c>
      <c r="AJ668" s="88">
        <v>39580.27023148148</v>
      </c>
      <c r="AK668" s="86" t="str">
        <f>HYPERLINK("https://yt3.ggpht.com/ytc/AIf8zZQ3QbaIDEIkUXZXycjxU8Ul2aMFyaQnXZRkFPjKjg=s88-c-k-c0x00ffffff-no-rj")</f>
        <v>https://yt3.ggpht.com/ytc/AIf8zZQ3QbaIDEIkUXZXycjxU8Ul2aMFyaQnXZRkFPjKjg=s88-c-k-c0x00ffffff-no-rj</v>
      </c>
      <c r="AL668" s="81">
        <v>0</v>
      </c>
      <c r="AM668" s="81">
        <v>0</v>
      </c>
      <c r="AN668" s="81">
        <v>2</v>
      </c>
      <c r="AO668" s="81" t="b">
        <v>0</v>
      </c>
      <c r="AP668" s="81">
        <v>0</v>
      </c>
      <c r="AQ668" s="81"/>
      <c r="AR668" s="81"/>
      <c r="AS668" s="81" t="s">
        <v>3378</v>
      </c>
      <c r="AT668" s="86" t="str">
        <f>HYPERLINK("https://www.youtube.com/channel/UC6_v2lL0QHSxS3xzV0wNFpw")</f>
        <v>https://www.youtube.com/channel/UC6_v2lL0QHSxS3xzV0wNFpw</v>
      </c>
      <c r="AU668" s="81" t="str">
        <f>REPLACE(INDEX(GroupVertices[Group],MATCH("~"&amp;Vertices[[#This Row],[Vertex]],GroupVertices[Vertex],0)),1,1,"")</f>
        <v>1</v>
      </c>
      <c r="AV668" s="49"/>
      <c r="AW668" s="49"/>
      <c r="AX668" s="49"/>
      <c r="AY668" s="49"/>
      <c r="AZ668" s="49"/>
      <c r="BA668" s="49"/>
      <c r="BB668" s="117" t="s">
        <v>4325</v>
      </c>
      <c r="BC668" s="117" t="s">
        <v>4325</v>
      </c>
      <c r="BD668" s="117" t="s">
        <v>5007</v>
      </c>
      <c r="BE668" s="117" t="s">
        <v>5007</v>
      </c>
      <c r="BF668" s="2"/>
      <c r="BG668" s="3"/>
      <c r="BH668" s="3"/>
      <c r="BI668" s="3"/>
      <c r="BJ668" s="3"/>
    </row>
    <row r="669" spans="1:62" ht="15">
      <c r="A669" s="66" t="s">
        <v>866</v>
      </c>
      <c r="B669" s="67"/>
      <c r="C669" s="67"/>
      <c r="D669" s="68">
        <v>50</v>
      </c>
      <c r="E669" s="70"/>
      <c r="F669" s="105" t="str">
        <f>HYPERLINK("https://yt3.ggpht.com/ytc/AIf8zZTXh_pmzIqVEYFD_Sax-wDWdSS38yp7Gj9W7g=s88-c-k-c0x00ffffff-no-rj")</f>
        <v>https://yt3.ggpht.com/ytc/AIf8zZTXh_pmzIqVEYFD_Sax-wDWdSS38yp7Gj9W7g=s88-c-k-c0x00ffffff-no-rj</v>
      </c>
      <c r="G669" s="67"/>
      <c r="H669" s="71" t="s">
        <v>3098</v>
      </c>
      <c r="I669" s="72"/>
      <c r="J669" s="72" t="s">
        <v>159</v>
      </c>
      <c r="K669" s="71" t="s">
        <v>3098</v>
      </c>
      <c r="L669" s="75">
        <v>1</v>
      </c>
      <c r="M669" s="76">
        <v>1811.328857421875</v>
      </c>
      <c r="N669" s="76">
        <v>3926.453857421875</v>
      </c>
      <c r="O669" s="77"/>
      <c r="P669" s="78"/>
      <c r="Q669" s="78"/>
      <c r="R669" s="90"/>
      <c r="S669" s="49">
        <v>0</v>
      </c>
      <c r="T669" s="49">
        <v>1</v>
      </c>
      <c r="U669" s="50">
        <v>0</v>
      </c>
      <c r="V669" s="50">
        <v>0.231785</v>
      </c>
      <c r="W669" s="51"/>
      <c r="X669" s="51"/>
      <c r="Y669" s="51"/>
      <c r="Z669" s="50"/>
      <c r="AA669" s="73">
        <v>669</v>
      </c>
      <c r="AB669" s="73"/>
      <c r="AC669" s="74"/>
      <c r="AD669" s="81" t="s">
        <v>3098</v>
      </c>
      <c r="AE669" s="81"/>
      <c r="AF669" s="81"/>
      <c r="AG669" s="81"/>
      <c r="AH669" s="81"/>
      <c r="AI669" s="81" t="s">
        <v>2332</v>
      </c>
      <c r="AJ669" s="88">
        <v>41931.08293981481</v>
      </c>
      <c r="AK669" s="86" t="str">
        <f>HYPERLINK("https://yt3.ggpht.com/ytc/AIf8zZTXh_pmzIqVEYFD_Sax-wDWdSS38yp7Gj9W7g=s88-c-k-c0x00ffffff-no-rj")</f>
        <v>https://yt3.ggpht.com/ytc/AIf8zZTXh_pmzIqVEYFD_Sax-wDWdSS38yp7Gj9W7g=s88-c-k-c0x00ffffff-no-rj</v>
      </c>
      <c r="AL669" s="81">
        <v>0</v>
      </c>
      <c r="AM669" s="81">
        <v>0</v>
      </c>
      <c r="AN669" s="81">
        <v>0</v>
      </c>
      <c r="AO669" s="81" t="b">
        <v>0</v>
      </c>
      <c r="AP669" s="81">
        <v>0</v>
      </c>
      <c r="AQ669" s="81"/>
      <c r="AR669" s="81"/>
      <c r="AS669" s="81" t="s">
        <v>3378</v>
      </c>
      <c r="AT669" s="86" t="str">
        <f>HYPERLINK("https://www.youtube.com/channel/UCGSIjnJraNXN6esEIMFzohw")</f>
        <v>https://www.youtube.com/channel/UCGSIjnJraNXN6esEIMFzohw</v>
      </c>
      <c r="AU669" s="81" t="str">
        <f>REPLACE(INDEX(GroupVertices[Group],MATCH("~"&amp;Vertices[[#This Row],[Vertex]],GroupVertices[Vertex],0)),1,1,"")</f>
        <v>1</v>
      </c>
      <c r="AV669" s="49"/>
      <c r="AW669" s="49"/>
      <c r="AX669" s="49"/>
      <c r="AY669" s="49"/>
      <c r="AZ669" s="49"/>
      <c r="BA669" s="49"/>
      <c r="BB669" s="117" t="s">
        <v>4326</v>
      </c>
      <c r="BC669" s="117" t="s">
        <v>4326</v>
      </c>
      <c r="BD669" s="117" t="s">
        <v>5008</v>
      </c>
      <c r="BE669" s="117" t="s">
        <v>5008</v>
      </c>
      <c r="BF669" s="2"/>
      <c r="BG669" s="3"/>
      <c r="BH669" s="3"/>
      <c r="BI669" s="3"/>
      <c r="BJ669" s="3"/>
    </row>
    <row r="670" spans="1:62" ht="15">
      <c r="A670" s="66" t="s">
        <v>867</v>
      </c>
      <c r="B670" s="67"/>
      <c r="C670" s="67"/>
      <c r="D670" s="68">
        <v>50</v>
      </c>
      <c r="E670" s="70"/>
      <c r="F670" s="105" t="str">
        <f>HYPERLINK("https://yt3.ggpht.com/ChAyQTwXB8VxFWL6a-M1xEv9foekRn5upwinlOtvHKN4hITg8v9pnH_C7tn3etJ0GO0Agz3J9j8=s88-c-k-c0x00ffffff-no-rj")</f>
        <v>https://yt3.ggpht.com/ChAyQTwXB8VxFWL6a-M1xEv9foekRn5upwinlOtvHKN4hITg8v9pnH_C7tn3etJ0GO0Agz3J9j8=s88-c-k-c0x00ffffff-no-rj</v>
      </c>
      <c r="G670" s="67"/>
      <c r="H670" s="71" t="s">
        <v>3099</v>
      </c>
      <c r="I670" s="72"/>
      <c r="J670" s="72" t="s">
        <v>159</v>
      </c>
      <c r="K670" s="71" t="s">
        <v>3099</v>
      </c>
      <c r="L670" s="75">
        <v>1</v>
      </c>
      <c r="M670" s="76">
        <v>2373.3408203125</v>
      </c>
      <c r="N670" s="76">
        <v>3916.0263671875</v>
      </c>
      <c r="O670" s="77"/>
      <c r="P670" s="78"/>
      <c r="Q670" s="78"/>
      <c r="R670" s="90"/>
      <c r="S670" s="49">
        <v>0</v>
      </c>
      <c r="T670" s="49">
        <v>1</v>
      </c>
      <c r="U670" s="50">
        <v>0</v>
      </c>
      <c r="V670" s="50">
        <v>0.231785</v>
      </c>
      <c r="W670" s="51"/>
      <c r="X670" s="51"/>
      <c r="Y670" s="51"/>
      <c r="Z670" s="50"/>
      <c r="AA670" s="73">
        <v>670</v>
      </c>
      <c r="AB670" s="73"/>
      <c r="AC670" s="74"/>
      <c r="AD670" s="81" t="s">
        <v>3099</v>
      </c>
      <c r="AE670" s="81"/>
      <c r="AF670" s="81"/>
      <c r="AG670" s="81"/>
      <c r="AH670" s="81"/>
      <c r="AI670" s="81" t="s">
        <v>2333</v>
      </c>
      <c r="AJ670" s="88">
        <v>44714.43232638889</v>
      </c>
      <c r="AK670" s="86" t="str">
        <f>HYPERLINK("https://yt3.ggpht.com/ChAyQTwXB8VxFWL6a-M1xEv9foekRn5upwinlOtvHKN4hITg8v9pnH_C7tn3etJ0GO0Agz3J9j8=s88-c-k-c0x00ffffff-no-rj")</f>
        <v>https://yt3.ggpht.com/ChAyQTwXB8VxFWL6a-M1xEv9foekRn5upwinlOtvHKN4hITg8v9pnH_C7tn3etJ0GO0Agz3J9j8=s88-c-k-c0x00ffffff-no-rj</v>
      </c>
      <c r="AL670" s="81">
        <v>0</v>
      </c>
      <c r="AM670" s="81">
        <v>0</v>
      </c>
      <c r="AN670" s="81">
        <v>3</v>
      </c>
      <c r="AO670" s="81" t="b">
        <v>0</v>
      </c>
      <c r="AP670" s="81">
        <v>0</v>
      </c>
      <c r="AQ670" s="81"/>
      <c r="AR670" s="81"/>
      <c r="AS670" s="81" t="s">
        <v>3378</v>
      </c>
      <c r="AT670" s="86" t="str">
        <f>HYPERLINK("https://www.youtube.com/channel/UC8ZV9ZPtlFUkrMPlKrXDKMQ")</f>
        <v>https://www.youtube.com/channel/UC8ZV9ZPtlFUkrMPlKrXDKMQ</v>
      </c>
      <c r="AU670" s="81" t="str">
        <f>REPLACE(INDEX(GroupVertices[Group],MATCH("~"&amp;Vertices[[#This Row],[Vertex]],GroupVertices[Vertex],0)),1,1,"")</f>
        <v>1</v>
      </c>
      <c r="AV670" s="49"/>
      <c r="AW670" s="49"/>
      <c r="AX670" s="49"/>
      <c r="AY670" s="49"/>
      <c r="AZ670" s="49"/>
      <c r="BA670" s="49"/>
      <c r="BB670" s="117" t="s">
        <v>4327</v>
      </c>
      <c r="BC670" s="117" t="s">
        <v>4385</v>
      </c>
      <c r="BD670" s="117" t="s">
        <v>5009</v>
      </c>
      <c r="BE670" s="117" t="s">
        <v>5009</v>
      </c>
      <c r="BF670" s="2"/>
      <c r="BG670" s="3"/>
      <c r="BH670" s="3"/>
      <c r="BI670" s="3"/>
      <c r="BJ670" s="3"/>
    </row>
    <row r="671" spans="1:62" ht="15">
      <c r="A671" s="66" t="s">
        <v>868</v>
      </c>
      <c r="B671" s="67"/>
      <c r="C671" s="67"/>
      <c r="D671" s="68">
        <v>50</v>
      </c>
      <c r="E671" s="70"/>
      <c r="F671" s="105" t="str">
        <f>HYPERLINK("https://yt3.ggpht.com/ytc/AIf8zZSyK63uUy4cSxSHhDt3Eg7_kt29FvnaQ45eQK393w=s88-c-k-c0x00ffffff-no-rj")</f>
        <v>https://yt3.ggpht.com/ytc/AIf8zZSyK63uUy4cSxSHhDt3Eg7_kt29FvnaQ45eQK393w=s88-c-k-c0x00ffffff-no-rj</v>
      </c>
      <c r="G671" s="67"/>
      <c r="H671" s="71" t="s">
        <v>3100</v>
      </c>
      <c r="I671" s="72"/>
      <c r="J671" s="72" t="s">
        <v>159</v>
      </c>
      <c r="K671" s="71" t="s">
        <v>3100</v>
      </c>
      <c r="L671" s="75">
        <v>1</v>
      </c>
      <c r="M671" s="76">
        <v>2235.68017578125</v>
      </c>
      <c r="N671" s="76">
        <v>6370.3115234375</v>
      </c>
      <c r="O671" s="77"/>
      <c r="P671" s="78"/>
      <c r="Q671" s="78"/>
      <c r="R671" s="90"/>
      <c r="S671" s="49">
        <v>0</v>
      </c>
      <c r="T671" s="49">
        <v>1</v>
      </c>
      <c r="U671" s="50">
        <v>0</v>
      </c>
      <c r="V671" s="50">
        <v>0.231785</v>
      </c>
      <c r="W671" s="51"/>
      <c r="X671" s="51"/>
      <c r="Y671" s="51"/>
      <c r="Z671" s="50"/>
      <c r="AA671" s="73">
        <v>671</v>
      </c>
      <c r="AB671" s="73"/>
      <c r="AC671" s="74"/>
      <c r="AD671" s="81" t="s">
        <v>3100</v>
      </c>
      <c r="AE671" s="81"/>
      <c r="AF671" s="81"/>
      <c r="AG671" s="81"/>
      <c r="AH671" s="81"/>
      <c r="AI671" s="81" t="s">
        <v>2334</v>
      </c>
      <c r="AJ671" s="88">
        <v>41134.755902777775</v>
      </c>
      <c r="AK671" s="86" t="str">
        <f>HYPERLINK("https://yt3.ggpht.com/ytc/AIf8zZSyK63uUy4cSxSHhDt3Eg7_kt29FvnaQ45eQK393w=s88-c-k-c0x00ffffff-no-rj")</f>
        <v>https://yt3.ggpht.com/ytc/AIf8zZSyK63uUy4cSxSHhDt3Eg7_kt29FvnaQ45eQK393w=s88-c-k-c0x00ffffff-no-rj</v>
      </c>
      <c r="AL671" s="81">
        <v>0</v>
      </c>
      <c r="AM671" s="81">
        <v>0</v>
      </c>
      <c r="AN671" s="81">
        <v>0</v>
      </c>
      <c r="AO671" s="81" t="b">
        <v>0</v>
      </c>
      <c r="AP671" s="81">
        <v>0</v>
      </c>
      <c r="AQ671" s="81"/>
      <c r="AR671" s="81"/>
      <c r="AS671" s="81" t="s">
        <v>3378</v>
      </c>
      <c r="AT671" s="86" t="str">
        <f>HYPERLINK("https://www.youtube.com/channel/UCLEc91XqgQBkaF0zlOeftWw")</f>
        <v>https://www.youtube.com/channel/UCLEc91XqgQBkaF0zlOeftWw</v>
      </c>
      <c r="AU671" s="81" t="str">
        <f>REPLACE(INDEX(GroupVertices[Group],MATCH("~"&amp;Vertices[[#This Row],[Vertex]],GroupVertices[Vertex],0)),1,1,"")</f>
        <v>1</v>
      </c>
      <c r="AV671" s="49"/>
      <c r="AW671" s="49"/>
      <c r="AX671" s="49"/>
      <c r="AY671" s="49"/>
      <c r="AZ671" s="49"/>
      <c r="BA671" s="49"/>
      <c r="BB671" s="117" t="s">
        <v>4328</v>
      </c>
      <c r="BC671" s="117" t="s">
        <v>4328</v>
      </c>
      <c r="BD671" s="117" t="s">
        <v>5010</v>
      </c>
      <c r="BE671" s="117" t="s">
        <v>5010</v>
      </c>
      <c r="BF671" s="2"/>
      <c r="BG671" s="3"/>
      <c r="BH671" s="3"/>
      <c r="BI671" s="3"/>
      <c r="BJ671" s="3"/>
    </row>
    <row r="672" spans="1:62" ht="15">
      <c r="A672" s="66" t="s">
        <v>869</v>
      </c>
      <c r="B672" s="67"/>
      <c r="C672" s="67"/>
      <c r="D672" s="68">
        <v>50</v>
      </c>
      <c r="E672" s="70"/>
      <c r="F672" s="105" t="str">
        <f>HYPERLINK("https://yt3.ggpht.com/ytc/AIf8zZT2eVUuoM3omPRxvTw5Yz_xL7wTZ1HET6qwL-WTCg=s88-c-k-c0x00ffffff-no-rj")</f>
        <v>https://yt3.ggpht.com/ytc/AIf8zZT2eVUuoM3omPRxvTw5Yz_xL7wTZ1HET6qwL-WTCg=s88-c-k-c0x00ffffff-no-rj</v>
      </c>
      <c r="G672" s="67"/>
      <c r="H672" s="71" t="s">
        <v>3101</v>
      </c>
      <c r="I672" s="72"/>
      <c r="J672" s="72" t="s">
        <v>159</v>
      </c>
      <c r="K672" s="71" t="s">
        <v>3101</v>
      </c>
      <c r="L672" s="75">
        <v>1</v>
      </c>
      <c r="M672" s="76">
        <v>2975.75390625</v>
      </c>
      <c r="N672" s="76">
        <v>8935.0185546875</v>
      </c>
      <c r="O672" s="77"/>
      <c r="P672" s="78"/>
      <c r="Q672" s="78"/>
      <c r="R672" s="90"/>
      <c r="S672" s="49">
        <v>0</v>
      </c>
      <c r="T672" s="49">
        <v>1</v>
      </c>
      <c r="U672" s="50">
        <v>0</v>
      </c>
      <c r="V672" s="50">
        <v>0.231785</v>
      </c>
      <c r="W672" s="51"/>
      <c r="X672" s="51"/>
      <c r="Y672" s="51"/>
      <c r="Z672" s="50"/>
      <c r="AA672" s="73">
        <v>672</v>
      </c>
      <c r="AB672" s="73"/>
      <c r="AC672" s="74"/>
      <c r="AD672" s="81" t="s">
        <v>3101</v>
      </c>
      <c r="AE672" s="81" t="s">
        <v>3224</v>
      </c>
      <c r="AF672" s="81"/>
      <c r="AG672" s="81"/>
      <c r="AH672" s="81"/>
      <c r="AI672" s="81" t="s">
        <v>2335</v>
      </c>
      <c r="AJ672" s="88">
        <v>39777.56837962963</v>
      </c>
      <c r="AK672" s="86" t="str">
        <f>HYPERLINK("https://yt3.ggpht.com/ytc/AIf8zZT2eVUuoM3omPRxvTw5Yz_xL7wTZ1HET6qwL-WTCg=s88-c-k-c0x00ffffff-no-rj")</f>
        <v>https://yt3.ggpht.com/ytc/AIf8zZT2eVUuoM3omPRxvTw5Yz_xL7wTZ1HET6qwL-WTCg=s88-c-k-c0x00ffffff-no-rj</v>
      </c>
      <c r="AL672" s="81">
        <v>1009</v>
      </c>
      <c r="AM672" s="81">
        <v>0</v>
      </c>
      <c r="AN672" s="81">
        <v>21</v>
      </c>
      <c r="AO672" s="81" t="b">
        <v>0</v>
      </c>
      <c r="AP672" s="81">
        <v>38</v>
      </c>
      <c r="AQ672" s="81"/>
      <c r="AR672" s="81"/>
      <c r="AS672" s="81" t="s">
        <v>3378</v>
      </c>
      <c r="AT672" s="86" t="str">
        <f>HYPERLINK("https://www.youtube.com/channel/UC_EJrSubx5M0_ZFIZSEkIyA")</f>
        <v>https://www.youtube.com/channel/UC_EJrSubx5M0_ZFIZSEkIyA</v>
      </c>
      <c r="AU672" s="81" t="str">
        <f>REPLACE(INDEX(GroupVertices[Group],MATCH("~"&amp;Vertices[[#This Row],[Vertex]],GroupVertices[Vertex],0)),1,1,"")</f>
        <v>1</v>
      </c>
      <c r="AV672" s="49"/>
      <c r="AW672" s="49"/>
      <c r="AX672" s="49"/>
      <c r="AY672" s="49"/>
      <c r="AZ672" s="49"/>
      <c r="BA672" s="49"/>
      <c r="BB672" s="117" t="s">
        <v>4329</v>
      </c>
      <c r="BC672" s="117" t="s">
        <v>4329</v>
      </c>
      <c r="BD672" s="117" t="s">
        <v>5011</v>
      </c>
      <c r="BE672" s="117" t="s">
        <v>5011</v>
      </c>
      <c r="BF672" s="2"/>
      <c r="BG672" s="3"/>
      <c r="BH672" s="3"/>
      <c r="BI672" s="3"/>
      <c r="BJ672" s="3"/>
    </row>
    <row r="673" spans="1:62" ht="15">
      <c r="A673" s="66" t="s">
        <v>870</v>
      </c>
      <c r="B673" s="67"/>
      <c r="C673" s="67"/>
      <c r="D673" s="68">
        <v>50</v>
      </c>
      <c r="E673" s="70"/>
      <c r="F673" s="105" t="str">
        <f>HYPERLINK("https://yt3.ggpht.com/ytc/AIf8zZS60zyvr5KJAeKQMTW2JfQBGgKZByHxgyPsIAjc31Q=s88-c-k-c0x00ffffff-no-rj")</f>
        <v>https://yt3.ggpht.com/ytc/AIf8zZS60zyvr5KJAeKQMTW2JfQBGgKZByHxgyPsIAjc31Q=s88-c-k-c0x00ffffff-no-rj</v>
      </c>
      <c r="G673" s="67"/>
      <c r="H673" s="71" t="s">
        <v>3102</v>
      </c>
      <c r="I673" s="72"/>
      <c r="J673" s="72" t="s">
        <v>159</v>
      </c>
      <c r="K673" s="71" t="s">
        <v>3102</v>
      </c>
      <c r="L673" s="75">
        <v>1</v>
      </c>
      <c r="M673" s="76">
        <v>1071.1361083984375</v>
      </c>
      <c r="N673" s="76">
        <v>6013.35888671875</v>
      </c>
      <c r="O673" s="77"/>
      <c r="P673" s="78"/>
      <c r="Q673" s="78"/>
      <c r="R673" s="90"/>
      <c r="S673" s="49">
        <v>0</v>
      </c>
      <c r="T673" s="49">
        <v>1</v>
      </c>
      <c r="U673" s="50">
        <v>0</v>
      </c>
      <c r="V673" s="50">
        <v>0.231785</v>
      </c>
      <c r="W673" s="51"/>
      <c r="X673" s="51"/>
      <c r="Y673" s="51"/>
      <c r="Z673" s="50"/>
      <c r="AA673" s="73">
        <v>673</v>
      </c>
      <c r="AB673" s="73"/>
      <c r="AC673" s="74"/>
      <c r="AD673" s="81" t="s">
        <v>3102</v>
      </c>
      <c r="AE673" s="81"/>
      <c r="AF673" s="81"/>
      <c r="AG673" s="81"/>
      <c r="AH673" s="81"/>
      <c r="AI673" s="81" t="s">
        <v>2336</v>
      </c>
      <c r="AJ673" s="88">
        <v>41868.55306712963</v>
      </c>
      <c r="AK673" s="86" t="str">
        <f>HYPERLINK("https://yt3.ggpht.com/ytc/AIf8zZS60zyvr5KJAeKQMTW2JfQBGgKZByHxgyPsIAjc31Q=s88-c-k-c0x00ffffff-no-rj")</f>
        <v>https://yt3.ggpht.com/ytc/AIf8zZS60zyvr5KJAeKQMTW2JfQBGgKZByHxgyPsIAjc31Q=s88-c-k-c0x00ffffff-no-rj</v>
      </c>
      <c r="AL673" s="81">
        <v>0</v>
      </c>
      <c r="AM673" s="81">
        <v>0</v>
      </c>
      <c r="AN673" s="81">
        <v>0</v>
      </c>
      <c r="AO673" s="81" t="b">
        <v>0</v>
      </c>
      <c r="AP673" s="81">
        <v>0</v>
      </c>
      <c r="AQ673" s="81"/>
      <c r="AR673" s="81"/>
      <c r="AS673" s="81" t="s">
        <v>3378</v>
      </c>
      <c r="AT673" s="86" t="str">
        <f>HYPERLINK("https://www.youtube.com/channel/UCOt-kSsTsVCg6SosMqHBZCg")</f>
        <v>https://www.youtube.com/channel/UCOt-kSsTsVCg6SosMqHBZCg</v>
      </c>
      <c r="AU673" s="81" t="str">
        <f>REPLACE(INDEX(GroupVertices[Group],MATCH("~"&amp;Vertices[[#This Row],[Vertex]],GroupVertices[Vertex],0)),1,1,"")</f>
        <v>1</v>
      </c>
      <c r="AV673" s="49"/>
      <c r="AW673" s="49"/>
      <c r="AX673" s="49"/>
      <c r="AY673" s="49"/>
      <c r="AZ673" s="49"/>
      <c r="BA673" s="49"/>
      <c r="BB673" s="117" t="s">
        <v>4330</v>
      </c>
      <c r="BC673" s="117" t="s">
        <v>4330</v>
      </c>
      <c r="BD673" s="117" t="s">
        <v>5012</v>
      </c>
      <c r="BE673" s="117" t="s">
        <v>5012</v>
      </c>
      <c r="BF673" s="2"/>
      <c r="BG673" s="3"/>
      <c r="BH673" s="3"/>
      <c r="BI673" s="3"/>
      <c r="BJ673" s="3"/>
    </row>
    <row r="674" spans="1:62" ht="15">
      <c r="A674" s="66" t="s">
        <v>871</v>
      </c>
      <c r="B674" s="67"/>
      <c r="C674" s="67"/>
      <c r="D674" s="68">
        <v>50</v>
      </c>
      <c r="E674" s="70"/>
      <c r="F674" s="105" t="str">
        <f>HYPERLINK("https://yt3.ggpht.com/ytc/AIf8zZSO3WRIzRYf9_3KRR042lPfF9lEri1Dm_O891fG9JH61tOSC7ONNWkIS-I0vDmQ=s88-c-k-c0x00ffffff-no-rj")</f>
        <v>https://yt3.ggpht.com/ytc/AIf8zZSO3WRIzRYf9_3KRR042lPfF9lEri1Dm_O891fG9JH61tOSC7ONNWkIS-I0vDmQ=s88-c-k-c0x00ffffff-no-rj</v>
      </c>
      <c r="G674" s="67"/>
      <c r="H674" s="71" t="s">
        <v>3103</v>
      </c>
      <c r="I674" s="72"/>
      <c r="J674" s="72" t="s">
        <v>159</v>
      </c>
      <c r="K674" s="71" t="s">
        <v>3103</v>
      </c>
      <c r="L674" s="75">
        <v>1</v>
      </c>
      <c r="M674" s="76">
        <v>2396.576171875</v>
      </c>
      <c r="N674" s="76">
        <v>7790.21533203125</v>
      </c>
      <c r="O674" s="77"/>
      <c r="P674" s="78"/>
      <c r="Q674" s="78"/>
      <c r="R674" s="90"/>
      <c r="S674" s="49">
        <v>0</v>
      </c>
      <c r="T674" s="49">
        <v>1</v>
      </c>
      <c r="U674" s="50">
        <v>0</v>
      </c>
      <c r="V674" s="50">
        <v>0.231785</v>
      </c>
      <c r="W674" s="51"/>
      <c r="X674" s="51"/>
      <c r="Y674" s="51"/>
      <c r="Z674" s="50"/>
      <c r="AA674" s="73">
        <v>674</v>
      </c>
      <c r="AB674" s="73"/>
      <c r="AC674" s="74"/>
      <c r="AD674" s="81" t="s">
        <v>3103</v>
      </c>
      <c r="AE674" s="81"/>
      <c r="AF674" s="81"/>
      <c r="AG674" s="81"/>
      <c r="AH674" s="81"/>
      <c r="AI674" s="81" t="s">
        <v>2337</v>
      </c>
      <c r="AJ674" s="88">
        <v>44422.93398148148</v>
      </c>
      <c r="AK674" s="86" t="str">
        <f>HYPERLINK("https://yt3.ggpht.com/ytc/AIf8zZSO3WRIzRYf9_3KRR042lPfF9lEri1Dm_O891fG9JH61tOSC7ONNWkIS-I0vDmQ=s88-c-k-c0x00ffffff-no-rj")</f>
        <v>https://yt3.ggpht.com/ytc/AIf8zZSO3WRIzRYf9_3KRR042lPfF9lEri1Dm_O891fG9JH61tOSC7ONNWkIS-I0vDmQ=s88-c-k-c0x00ffffff-no-rj</v>
      </c>
      <c r="AL674" s="81">
        <v>0</v>
      </c>
      <c r="AM674" s="81">
        <v>0</v>
      </c>
      <c r="AN674" s="81">
        <v>0</v>
      </c>
      <c r="AO674" s="81" t="b">
        <v>0</v>
      </c>
      <c r="AP674" s="81">
        <v>0</v>
      </c>
      <c r="AQ674" s="81"/>
      <c r="AR674" s="81"/>
      <c r="AS674" s="81" t="s">
        <v>3378</v>
      </c>
      <c r="AT674" s="86" t="str">
        <f>HYPERLINK("https://www.youtube.com/channel/UCUIxv52akISxK96nU5IWBjw")</f>
        <v>https://www.youtube.com/channel/UCUIxv52akISxK96nU5IWBjw</v>
      </c>
      <c r="AU674" s="81" t="str">
        <f>REPLACE(INDEX(GroupVertices[Group],MATCH("~"&amp;Vertices[[#This Row],[Vertex]],GroupVertices[Vertex],0)),1,1,"")</f>
        <v>1</v>
      </c>
      <c r="AV674" s="49"/>
      <c r="AW674" s="49"/>
      <c r="AX674" s="49"/>
      <c r="AY674" s="49"/>
      <c r="AZ674" s="49"/>
      <c r="BA674" s="49"/>
      <c r="BB674" s="117" t="s">
        <v>4331</v>
      </c>
      <c r="BC674" s="117" t="s">
        <v>4331</v>
      </c>
      <c r="BD674" s="117" t="s">
        <v>5013</v>
      </c>
      <c r="BE674" s="117" t="s">
        <v>5013</v>
      </c>
      <c r="BF674" s="2"/>
      <c r="BG674" s="3"/>
      <c r="BH674" s="3"/>
      <c r="BI674" s="3"/>
      <c r="BJ674" s="3"/>
    </row>
    <row r="675" spans="1:62" ht="15">
      <c r="A675" s="66" t="s">
        <v>872</v>
      </c>
      <c r="B675" s="67"/>
      <c r="C675" s="67"/>
      <c r="D675" s="68">
        <v>50</v>
      </c>
      <c r="E675" s="70"/>
      <c r="F675" s="105" t="str">
        <f>HYPERLINK("https://yt3.ggpht.com/ytc/AIf8zZR5AtLWxRKysbPnY1u0TyWwyIQV_BRqqcFRRA=s88-c-k-c0x00ffffff-no-rj")</f>
        <v>https://yt3.ggpht.com/ytc/AIf8zZR5AtLWxRKysbPnY1u0TyWwyIQV_BRqqcFRRA=s88-c-k-c0x00ffffff-no-rj</v>
      </c>
      <c r="G675" s="67"/>
      <c r="H675" s="71" t="s">
        <v>3104</v>
      </c>
      <c r="I675" s="72"/>
      <c r="J675" s="72" t="s">
        <v>159</v>
      </c>
      <c r="K675" s="71" t="s">
        <v>3104</v>
      </c>
      <c r="L675" s="75">
        <v>1</v>
      </c>
      <c r="M675" s="76">
        <v>3099.6630859375</v>
      </c>
      <c r="N675" s="76">
        <v>8826.0478515625</v>
      </c>
      <c r="O675" s="77"/>
      <c r="P675" s="78"/>
      <c r="Q675" s="78"/>
      <c r="R675" s="90"/>
      <c r="S675" s="49">
        <v>0</v>
      </c>
      <c r="T675" s="49">
        <v>1</v>
      </c>
      <c r="U675" s="50">
        <v>0</v>
      </c>
      <c r="V675" s="50">
        <v>0.231785</v>
      </c>
      <c r="W675" s="51"/>
      <c r="X675" s="51"/>
      <c r="Y675" s="51"/>
      <c r="Z675" s="50"/>
      <c r="AA675" s="73">
        <v>675</v>
      </c>
      <c r="AB675" s="73"/>
      <c r="AC675" s="74"/>
      <c r="AD675" s="81" t="s">
        <v>3104</v>
      </c>
      <c r="AE675" s="81"/>
      <c r="AF675" s="81"/>
      <c r="AG675" s="81"/>
      <c r="AH675" s="81"/>
      <c r="AI675" s="81" t="s">
        <v>2338</v>
      </c>
      <c r="AJ675" s="88">
        <v>44038.02915509259</v>
      </c>
      <c r="AK675" s="86" t="str">
        <f>HYPERLINK("https://yt3.ggpht.com/ytc/AIf8zZR5AtLWxRKysbPnY1u0TyWwyIQV_BRqqcFRRA=s88-c-k-c0x00ffffff-no-rj")</f>
        <v>https://yt3.ggpht.com/ytc/AIf8zZR5AtLWxRKysbPnY1u0TyWwyIQV_BRqqcFRRA=s88-c-k-c0x00ffffff-no-rj</v>
      </c>
      <c r="AL675" s="81">
        <v>0</v>
      </c>
      <c r="AM675" s="81">
        <v>0</v>
      </c>
      <c r="AN675" s="81">
        <v>0</v>
      </c>
      <c r="AO675" s="81" t="b">
        <v>0</v>
      </c>
      <c r="AP675" s="81">
        <v>0</v>
      </c>
      <c r="AQ675" s="81"/>
      <c r="AR675" s="81"/>
      <c r="AS675" s="81" t="s">
        <v>3378</v>
      </c>
      <c r="AT675" s="86" t="str">
        <f>HYPERLINK("https://www.youtube.com/channel/UCzGNxXociT3FsvFnxjfyWWw")</f>
        <v>https://www.youtube.com/channel/UCzGNxXociT3FsvFnxjfyWWw</v>
      </c>
      <c r="AU675" s="81" t="str">
        <f>REPLACE(INDEX(GroupVertices[Group],MATCH("~"&amp;Vertices[[#This Row],[Vertex]],GroupVertices[Vertex],0)),1,1,"")</f>
        <v>1</v>
      </c>
      <c r="AV675" s="49"/>
      <c r="AW675" s="49"/>
      <c r="AX675" s="49"/>
      <c r="AY675" s="49"/>
      <c r="AZ675" s="49"/>
      <c r="BA675" s="49"/>
      <c r="BB675" s="117" t="s">
        <v>4332</v>
      </c>
      <c r="BC675" s="117" t="s">
        <v>4332</v>
      </c>
      <c r="BD675" s="117" t="s">
        <v>5014</v>
      </c>
      <c r="BE675" s="117" t="s">
        <v>5014</v>
      </c>
      <c r="BF675" s="2"/>
      <c r="BG675" s="3"/>
      <c r="BH675" s="3"/>
      <c r="BI675" s="3"/>
      <c r="BJ675" s="3"/>
    </row>
    <row r="676" spans="1:62" ht="15">
      <c r="A676" s="66" t="s">
        <v>873</v>
      </c>
      <c r="B676" s="67"/>
      <c r="C676" s="67"/>
      <c r="D676" s="68">
        <v>50</v>
      </c>
      <c r="E676" s="70"/>
      <c r="F676" s="105" t="str">
        <f>HYPERLINK("https://yt3.ggpht.com/ytc/AIf8zZRQs9k5AcRWD7vYoze8r1hI2Bd-UrQ12KEAyw=s88-c-k-c0x00ffffff-no-rj")</f>
        <v>https://yt3.ggpht.com/ytc/AIf8zZRQs9k5AcRWD7vYoze8r1hI2Bd-UrQ12KEAyw=s88-c-k-c0x00ffffff-no-rj</v>
      </c>
      <c r="G676" s="67"/>
      <c r="H676" s="71" t="s">
        <v>3105</v>
      </c>
      <c r="I676" s="72"/>
      <c r="J676" s="72" t="s">
        <v>159</v>
      </c>
      <c r="K676" s="71" t="s">
        <v>3105</v>
      </c>
      <c r="L676" s="75">
        <v>1</v>
      </c>
      <c r="M676" s="76">
        <v>3549.321044921875</v>
      </c>
      <c r="N676" s="76">
        <v>5682.36572265625</v>
      </c>
      <c r="O676" s="77"/>
      <c r="P676" s="78"/>
      <c r="Q676" s="78"/>
      <c r="R676" s="90"/>
      <c r="S676" s="49">
        <v>0</v>
      </c>
      <c r="T676" s="49">
        <v>1</v>
      </c>
      <c r="U676" s="50">
        <v>0</v>
      </c>
      <c r="V676" s="50">
        <v>0.231785</v>
      </c>
      <c r="W676" s="51"/>
      <c r="X676" s="51"/>
      <c r="Y676" s="51"/>
      <c r="Z676" s="50"/>
      <c r="AA676" s="73">
        <v>676</v>
      </c>
      <c r="AB676" s="73"/>
      <c r="AC676" s="74"/>
      <c r="AD676" s="81" t="s">
        <v>3105</v>
      </c>
      <c r="AE676" s="81"/>
      <c r="AF676" s="81"/>
      <c r="AG676" s="81"/>
      <c r="AH676" s="81"/>
      <c r="AI676" s="81" t="s">
        <v>2339</v>
      </c>
      <c r="AJ676" s="88">
        <v>40573.99130787037</v>
      </c>
      <c r="AK676" s="86" t="str">
        <f>HYPERLINK("https://yt3.ggpht.com/ytc/AIf8zZRQs9k5AcRWD7vYoze8r1hI2Bd-UrQ12KEAyw=s88-c-k-c0x00ffffff-no-rj")</f>
        <v>https://yt3.ggpht.com/ytc/AIf8zZRQs9k5AcRWD7vYoze8r1hI2Bd-UrQ12KEAyw=s88-c-k-c0x00ffffff-no-rj</v>
      </c>
      <c r="AL676" s="81">
        <v>0</v>
      </c>
      <c r="AM676" s="81">
        <v>0</v>
      </c>
      <c r="AN676" s="81">
        <v>0</v>
      </c>
      <c r="AO676" s="81" t="b">
        <v>0</v>
      </c>
      <c r="AP676" s="81">
        <v>0</v>
      </c>
      <c r="AQ676" s="81"/>
      <c r="AR676" s="81"/>
      <c r="AS676" s="81" t="s">
        <v>3378</v>
      </c>
      <c r="AT676" s="86" t="str">
        <f>HYPERLINK("https://www.youtube.com/channel/UCFYHmDuwAH3A4J5_tM0D1Yg")</f>
        <v>https://www.youtube.com/channel/UCFYHmDuwAH3A4J5_tM0D1Yg</v>
      </c>
      <c r="AU676" s="81" t="str">
        <f>REPLACE(INDEX(GroupVertices[Group],MATCH("~"&amp;Vertices[[#This Row],[Vertex]],GroupVertices[Vertex],0)),1,1,"")</f>
        <v>1</v>
      </c>
      <c r="AV676" s="49"/>
      <c r="AW676" s="49"/>
      <c r="AX676" s="49"/>
      <c r="AY676" s="49"/>
      <c r="AZ676" s="49"/>
      <c r="BA676" s="49"/>
      <c r="BB676" s="117" t="s">
        <v>4333</v>
      </c>
      <c r="BC676" s="117" t="s">
        <v>4333</v>
      </c>
      <c r="BD676" s="117" t="s">
        <v>5015</v>
      </c>
      <c r="BE676" s="117" t="s">
        <v>5015</v>
      </c>
      <c r="BF676" s="2"/>
      <c r="BG676" s="3"/>
      <c r="BH676" s="3"/>
      <c r="BI676" s="3"/>
      <c r="BJ676" s="3"/>
    </row>
    <row r="677" spans="1:62" ht="15">
      <c r="A677" s="66" t="s">
        <v>874</v>
      </c>
      <c r="B677" s="67"/>
      <c r="C677" s="67"/>
      <c r="D677" s="68">
        <v>50</v>
      </c>
      <c r="E677" s="70"/>
      <c r="F677" s="105" t="str">
        <f>HYPERLINK("https://yt3.ggpht.com/ytc/AIf8zZQDrIba90cYubMdshoko93Uako2BU_UdIjhEMCb=s88-c-k-c0x00ffffff-no-rj")</f>
        <v>https://yt3.ggpht.com/ytc/AIf8zZQDrIba90cYubMdshoko93Uako2BU_UdIjhEMCb=s88-c-k-c0x00ffffff-no-rj</v>
      </c>
      <c r="G677" s="67"/>
      <c r="H677" s="71" t="s">
        <v>3106</v>
      </c>
      <c r="I677" s="72"/>
      <c r="J677" s="72" t="s">
        <v>159</v>
      </c>
      <c r="K677" s="71" t="s">
        <v>3106</v>
      </c>
      <c r="L677" s="75">
        <v>1</v>
      </c>
      <c r="M677" s="76">
        <v>381.0791015625</v>
      </c>
      <c r="N677" s="76">
        <v>5143.7314453125</v>
      </c>
      <c r="O677" s="77"/>
      <c r="P677" s="78"/>
      <c r="Q677" s="78"/>
      <c r="R677" s="90"/>
      <c r="S677" s="49">
        <v>0</v>
      </c>
      <c r="T677" s="49">
        <v>1</v>
      </c>
      <c r="U677" s="50">
        <v>0</v>
      </c>
      <c r="V677" s="50">
        <v>0.231785</v>
      </c>
      <c r="W677" s="51"/>
      <c r="X677" s="51"/>
      <c r="Y677" s="51"/>
      <c r="Z677" s="50"/>
      <c r="AA677" s="73">
        <v>677</v>
      </c>
      <c r="AB677" s="73"/>
      <c r="AC677" s="74"/>
      <c r="AD677" s="81" t="s">
        <v>3106</v>
      </c>
      <c r="AE677" s="81"/>
      <c r="AF677" s="81"/>
      <c r="AG677" s="81"/>
      <c r="AH677" s="81"/>
      <c r="AI677" s="81" t="s">
        <v>2340</v>
      </c>
      <c r="AJ677" s="88">
        <v>41524.752175925925</v>
      </c>
      <c r="AK677" s="86" t="str">
        <f>HYPERLINK("https://yt3.ggpht.com/ytc/AIf8zZQDrIba90cYubMdshoko93Uako2BU_UdIjhEMCb=s88-c-k-c0x00ffffff-no-rj")</f>
        <v>https://yt3.ggpht.com/ytc/AIf8zZQDrIba90cYubMdshoko93Uako2BU_UdIjhEMCb=s88-c-k-c0x00ffffff-no-rj</v>
      </c>
      <c r="AL677" s="81">
        <v>5</v>
      </c>
      <c r="AM677" s="81">
        <v>0</v>
      </c>
      <c r="AN677" s="81">
        <v>0</v>
      </c>
      <c r="AO677" s="81" t="b">
        <v>0</v>
      </c>
      <c r="AP677" s="81">
        <v>1</v>
      </c>
      <c r="AQ677" s="81"/>
      <c r="AR677" s="81"/>
      <c r="AS677" s="81" t="s">
        <v>3378</v>
      </c>
      <c r="AT677" s="86" t="str">
        <f>HYPERLINK("https://www.youtube.com/channel/UCubZsXkLZjSIdJSixQaKUsQ")</f>
        <v>https://www.youtube.com/channel/UCubZsXkLZjSIdJSixQaKUsQ</v>
      </c>
      <c r="AU677" s="81" t="str">
        <f>REPLACE(INDEX(GroupVertices[Group],MATCH("~"&amp;Vertices[[#This Row],[Vertex]],GroupVertices[Vertex],0)),1,1,"")</f>
        <v>1</v>
      </c>
      <c r="AV677" s="49"/>
      <c r="AW677" s="49"/>
      <c r="AX677" s="49"/>
      <c r="AY677" s="49"/>
      <c r="AZ677" s="49"/>
      <c r="BA677" s="49"/>
      <c r="BB677" s="117" t="s">
        <v>4334</v>
      </c>
      <c r="BC677" s="117" t="s">
        <v>4334</v>
      </c>
      <c r="BD677" s="117" t="s">
        <v>2423</v>
      </c>
      <c r="BE677" s="117" t="s">
        <v>2423</v>
      </c>
      <c r="BF677" s="2"/>
      <c r="BG677" s="3"/>
      <c r="BH677" s="3"/>
      <c r="BI677" s="3"/>
      <c r="BJ677" s="3"/>
    </row>
    <row r="678" spans="1:62" ht="15">
      <c r="A678" s="66" t="s">
        <v>875</v>
      </c>
      <c r="B678" s="67"/>
      <c r="C678" s="67"/>
      <c r="D678" s="68">
        <v>50</v>
      </c>
      <c r="E678" s="70"/>
      <c r="F678" s="105" t="str">
        <f>HYPERLINK("https://yt3.ggpht.com/ytc/AIf8zZRMlF8zkuafYUptudOFA0uDggyzFZxAGdIn_w=s88-c-k-c0x00ffffff-no-rj")</f>
        <v>https://yt3.ggpht.com/ytc/AIf8zZRMlF8zkuafYUptudOFA0uDggyzFZxAGdIn_w=s88-c-k-c0x00ffffff-no-rj</v>
      </c>
      <c r="G678" s="67"/>
      <c r="H678" s="71" t="s">
        <v>3107</v>
      </c>
      <c r="I678" s="72"/>
      <c r="J678" s="72" t="s">
        <v>159</v>
      </c>
      <c r="K678" s="71" t="s">
        <v>3107</v>
      </c>
      <c r="L678" s="75">
        <v>1</v>
      </c>
      <c r="M678" s="76">
        <v>3034.906982421875</v>
      </c>
      <c r="N678" s="76">
        <v>4404.2236328125</v>
      </c>
      <c r="O678" s="77"/>
      <c r="P678" s="78"/>
      <c r="Q678" s="78"/>
      <c r="R678" s="90"/>
      <c r="S678" s="49">
        <v>0</v>
      </c>
      <c r="T678" s="49">
        <v>1</v>
      </c>
      <c r="U678" s="50">
        <v>0</v>
      </c>
      <c r="V678" s="50">
        <v>0.231785</v>
      </c>
      <c r="W678" s="51"/>
      <c r="X678" s="51"/>
      <c r="Y678" s="51"/>
      <c r="Z678" s="50"/>
      <c r="AA678" s="73">
        <v>678</v>
      </c>
      <c r="AB678" s="73"/>
      <c r="AC678" s="74"/>
      <c r="AD678" s="81" t="s">
        <v>3107</v>
      </c>
      <c r="AE678" s="81"/>
      <c r="AF678" s="81"/>
      <c r="AG678" s="81"/>
      <c r="AH678" s="81"/>
      <c r="AI678" s="81" t="s">
        <v>2341</v>
      </c>
      <c r="AJ678" s="88">
        <v>39716.133784722224</v>
      </c>
      <c r="AK678" s="86" t="str">
        <f>HYPERLINK("https://yt3.ggpht.com/ytc/AIf8zZRMlF8zkuafYUptudOFA0uDggyzFZxAGdIn_w=s88-c-k-c0x00ffffff-no-rj")</f>
        <v>https://yt3.ggpht.com/ytc/AIf8zZRMlF8zkuafYUptudOFA0uDggyzFZxAGdIn_w=s88-c-k-c0x00ffffff-no-rj</v>
      </c>
      <c r="AL678" s="81">
        <v>0</v>
      </c>
      <c r="AM678" s="81">
        <v>0</v>
      </c>
      <c r="AN678" s="81">
        <v>19</v>
      </c>
      <c r="AO678" s="81" t="b">
        <v>0</v>
      </c>
      <c r="AP678" s="81">
        <v>0</v>
      </c>
      <c r="AQ678" s="81"/>
      <c r="AR678" s="81"/>
      <c r="AS678" s="81" t="s">
        <v>3378</v>
      </c>
      <c r="AT678" s="86" t="str">
        <f>HYPERLINK("https://www.youtube.com/channel/UC-vzCz2yQshWqTTbGZI-fbQ")</f>
        <v>https://www.youtube.com/channel/UC-vzCz2yQshWqTTbGZI-fbQ</v>
      </c>
      <c r="AU678" s="81" t="str">
        <f>REPLACE(INDEX(GroupVertices[Group],MATCH("~"&amp;Vertices[[#This Row],[Vertex]],GroupVertices[Vertex],0)),1,1,"")</f>
        <v>1</v>
      </c>
      <c r="AV678" s="49"/>
      <c r="AW678" s="49"/>
      <c r="AX678" s="49"/>
      <c r="AY678" s="49"/>
      <c r="AZ678" s="49"/>
      <c r="BA678" s="49"/>
      <c r="BB678" s="117" t="s">
        <v>4335</v>
      </c>
      <c r="BC678" s="117" t="s">
        <v>4335</v>
      </c>
      <c r="BD678" s="117" t="s">
        <v>5016</v>
      </c>
      <c r="BE678" s="117" t="s">
        <v>5016</v>
      </c>
      <c r="BF678" s="2"/>
      <c r="BG678" s="3"/>
      <c r="BH678" s="3"/>
      <c r="BI678" s="3"/>
      <c r="BJ678" s="3"/>
    </row>
    <row r="679" spans="1:62" ht="15">
      <c r="A679" s="66" t="s">
        <v>876</v>
      </c>
      <c r="B679" s="67"/>
      <c r="C679" s="67"/>
      <c r="D679" s="68">
        <v>50</v>
      </c>
      <c r="E679" s="70"/>
      <c r="F679" s="105" t="str">
        <f>HYPERLINK("https://yt3.ggpht.com/ytc/AIf8zZSMagR-XutCRW0jAaatnxjVu4QM94fA-_6Csw=s88-c-k-c0x00ffffff-no-rj")</f>
        <v>https://yt3.ggpht.com/ytc/AIf8zZSMagR-XutCRW0jAaatnxjVu4QM94fA-_6Csw=s88-c-k-c0x00ffffff-no-rj</v>
      </c>
      <c r="G679" s="67"/>
      <c r="H679" s="71" t="s">
        <v>3108</v>
      </c>
      <c r="I679" s="72"/>
      <c r="J679" s="72" t="s">
        <v>159</v>
      </c>
      <c r="K679" s="71" t="s">
        <v>3108</v>
      </c>
      <c r="L679" s="75">
        <v>1</v>
      </c>
      <c r="M679" s="76">
        <v>2350.18310546875</v>
      </c>
      <c r="N679" s="76">
        <v>5676.671875</v>
      </c>
      <c r="O679" s="77"/>
      <c r="P679" s="78"/>
      <c r="Q679" s="78"/>
      <c r="R679" s="90"/>
      <c r="S679" s="49">
        <v>0</v>
      </c>
      <c r="T679" s="49">
        <v>1</v>
      </c>
      <c r="U679" s="50">
        <v>0</v>
      </c>
      <c r="V679" s="50">
        <v>0.231785</v>
      </c>
      <c r="W679" s="51"/>
      <c r="X679" s="51"/>
      <c r="Y679" s="51"/>
      <c r="Z679" s="50"/>
      <c r="AA679" s="73">
        <v>679</v>
      </c>
      <c r="AB679" s="73"/>
      <c r="AC679" s="74"/>
      <c r="AD679" s="81" t="s">
        <v>3108</v>
      </c>
      <c r="AE679" s="81"/>
      <c r="AF679" s="81"/>
      <c r="AG679" s="81"/>
      <c r="AH679" s="81"/>
      <c r="AI679" s="81" t="s">
        <v>2342</v>
      </c>
      <c r="AJ679" s="88">
        <v>41179.65528935185</v>
      </c>
      <c r="AK679" s="86" t="str">
        <f>HYPERLINK("https://yt3.ggpht.com/ytc/AIf8zZSMagR-XutCRW0jAaatnxjVu4QM94fA-_6Csw=s88-c-k-c0x00ffffff-no-rj")</f>
        <v>https://yt3.ggpht.com/ytc/AIf8zZSMagR-XutCRW0jAaatnxjVu4QM94fA-_6Csw=s88-c-k-c0x00ffffff-no-rj</v>
      </c>
      <c r="AL679" s="81">
        <v>0</v>
      </c>
      <c r="AM679" s="81">
        <v>0</v>
      </c>
      <c r="AN679" s="81">
        <v>0</v>
      </c>
      <c r="AO679" s="81" t="b">
        <v>0</v>
      </c>
      <c r="AP679" s="81">
        <v>0</v>
      </c>
      <c r="AQ679" s="81"/>
      <c r="AR679" s="81"/>
      <c r="AS679" s="81" t="s">
        <v>3378</v>
      </c>
      <c r="AT679" s="86" t="str">
        <f>HYPERLINK("https://www.youtube.com/channel/UCu6XMECoPUr8cEZl8rGTUDA")</f>
        <v>https://www.youtube.com/channel/UCu6XMECoPUr8cEZl8rGTUDA</v>
      </c>
      <c r="AU679" s="81" t="str">
        <f>REPLACE(INDEX(GroupVertices[Group],MATCH("~"&amp;Vertices[[#This Row],[Vertex]],GroupVertices[Vertex],0)),1,1,"")</f>
        <v>1</v>
      </c>
      <c r="AV679" s="49"/>
      <c r="AW679" s="49"/>
      <c r="AX679" s="49"/>
      <c r="AY679" s="49"/>
      <c r="AZ679" s="49"/>
      <c r="BA679" s="49"/>
      <c r="BB679" s="117" t="s">
        <v>4336</v>
      </c>
      <c r="BC679" s="117" t="s">
        <v>4336</v>
      </c>
      <c r="BD679" s="117" t="s">
        <v>5017</v>
      </c>
      <c r="BE679" s="117" t="s">
        <v>5017</v>
      </c>
      <c r="BF679" s="2"/>
      <c r="BG679" s="3"/>
      <c r="BH679" s="3"/>
      <c r="BI679" s="3"/>
      <c r="BJ679" s="3"/>
    </row>
    <row r="680" spans="1:62" ht="15">
      <c r="A680" s="66" t="s">
        <v>877</v>
      </c>
      <c r="B680" s="67"/>
      <c r="C680" s="67"/>
      <c r="D680" s="68">
        <v>50</v>
      </c>
      <c r="E680" s="70"/>
      <c r="F680" s="105" t="str">
        <f>HYPERLINK("https://yt3.ggpht.com/ytc/AIf8zZSg7fG7ZdwQ3Q34JLKDtomHDBkgDRUIoxKxAYeB6Q=s88-c-k-c0x00ffffff-no-rj")</f>
        <v>https://yt3.ggpht.com/ytc/AIf8zZSg7fG7ZdwQ3Q34JLKDtomHDBkgDRUIoxKxAYeB6Q=s88-c-k-c0x00ffffff-no-rj</v>
      </c>
      <c r="G680" s="67"/>
      <c r="H680" s="71" t="s">
        <v>3109</v>
      </c>
      <c r="I680" s="72"/>
      <c r="J680" s="72" t="s">
        <v>159</v>
      </c>
      <c r="K680" s="71" t="s">
        <v>3109</v>
      </c>
      <c r="L680" s="75">
        <v>1</v>
      </c>
      <c r="M680" s="76">
        <v>3048.607421875</v>
      </c>
      <c r="N680" s="76">
        <v>8452.2216796875</v>
      </c>
      <c r="O680" s="77"/>
      <c r="P680" s="78"/>
      <c r="Q680" s="78"/>
      <c r="R680" s="90"/>
      <c r="S680" s="49">
        <v>0</v>
      </c>
      <c r="T680" s="49">
        <v>1</v>
      </c>
      <c r="U680" s="50">
        <v>0</v>
      </c>
      <c r="V680" s="50">
        <v>0.231785</v>
      </c>
      <c r="W680" s="51"/>
      <c r="X680" s="51"/>
      <c r="Y680" s="51"/>
      <c r="Z680" s="50"/>
      <c r="AA680" s="73">
        <v>680</v>
      </c>
      <c r="AB680" s="73"/>
      <c r="AC680" s="74"/>
      <c r="AD680" s="81" t="s">
        <v>3109</v>
      </c>
      <c r="AE680" s="81"/>
      <c r="AF680" s="81"/>
      <c r="AG680" s="81"/>
      <c r="AH680" s="81"/>
      <c r="AI680" s="81" t="s">
        <v>2343</v>
      </c>
      <c r="AJ680" s="88">
        <v>41510.1815162037</v>
      </c>
      <c r="AK680" s="86" t="str">
        <f>HYPERLINK("https://yt3.ggpht.com/ytc/AIf8zZSg7fG7ZdwQ3Q34JLKDtomHDBkgDRUIoxKxAYeB6Q=s88-c-k-c0x00ffffff-no-rj")</f>
        <v>https://yt3.ggpht.com/ytc/AIf8zZSg7fG7ZdwQ3Q34JLKDtomHDBkgDRUIoxKxAYeB6Q=s88-c-k-c0x00ffffff-no-rj</v>
      </c>
      <c r="AL680" s="81">
        <v>0</v>
      </c>
      <c r="AM680" s="81">
        <v>0</v>
      </c>
      <c r="AN680" s="81">
        <v>0</v>
      </c>
      <c r="AO680" s="81" t="b">
        <v>0</v>
      </c>
      <c r="AP680" s="81">
        <v>0</v>
      </c>
      <c r="AQ680" s="81"/>
      <c r="AR680" s="81"/>
      <c r="AS680" s="81" t="s">
        <v>3378</v>
      </c>
      <c r="AT680" s="86" t="str">
        <f>HYPERLINK("https://www.youtube.com/channel/UC11WTN4ni6oUYs9knG4IqKg")</f>
        <v>https://www.youtube.com/channel/UC11WTN4ni6oUYs9knG4IqKg</v>
      </c>
      <c r="AU680" s="81" t="str">
        <f>REPLACE(INDEX(GroupVertices[Group],MATCH("~"&amp;Vertices[[#This Row],[Vertex]],GroupVertices[Vertex],0)),1,1,"")</f>
        <v>1</v>
      </c>
      <c r="AV680" s="49"/>
      <c r="AW680" s="49"/>
      <c r="AX680" s="49"/>
      <c r="AY680" s="49"/>
      <c r="AZ680" s="49"/>
      <c r="BA680" s="49"/>
      <c r="BB680" s="117" t="s">
        <v>4337</v>
      </c>
      <c r="BC680" s="117" t="s">
        <v>4337</v>
      </c>
      <c r="BD680" s="117" t="s">
        <v>5018</v>
      </c>
      <c r="BE680" s="117" t="s">
        <v>5018</v>
      </c>
      <c r="BF680" s="2"/>
      <c r="BG680" s="3"/>
      <c r="BH680" s="3"/>
      <c r="BI680" s="3"/>
      <c r="BJ680" s="3"/>
    </row>
    <row r="681" spans="1:62" ht="15">
      <c r="A681" s="66" t="s">
        <v>878</v>
      </c>
      <c r="B681" s="67"/>
      <c r="C681" s="67"/>
      <c r="D681" s="68">
        <v>50</v>
      </c>
      <c r="E681" s="70"/>
      <c r="F681" s="105" t="str">
        <f>HYPERLINK("https://yt3.ggpht.com/ytc/AIf8zZQK39YLZ_tPnYYz00mKvUeMsOeF2ksNGf6E1g0LK-F8GTKTlxvPlz_vDtf2vJSc=s88-c-k-c0x00ffffff-no-rj")</f>
        <v>https://yt3.ggpht.com/ytc/AIf8zZQK39YLZ_tPnYYz00mKvUeMsOeF2ksNGf6E1g0LK-F8GTKTlxvPlz_vDtf2vJSc=s88-c-k-c0x00ffffff-no-rj</v>
      </c>
      <c r="G681" s="67"/>
      <c r="H681" s="71" t="s">
        <v>3110</v>
      </c>
      <c r="I681" s="72"/>
      <c r="J681" s="72" t="s">
        <v>159</v>
      </c>
      <c r="K681" s="71" t="s">
        <v>3110</v>
      </c>
      <c r="L681" s="75">
        <v>1</v>
      </c>
      <c r="M681" s="76">
        <v>1930.53515625</v>
      </c>
      <c r="N681" s="76">
        <v>9396.32421875</v>
      </c>
      <c r="O681" s="77"/>
      <c r="P681" s="78"/>
      <c r="Q681" s="78"/>
      <c r="R681" s="90"/>
      <c r="S681" s="49">
        <v>0</v>
      </c>
      <c r="T681" s="49">
        <v>1</v>
      </c>
      <c r="U681" s="50">
        <v>0</v>
      </c>
      <c r="V681" s="50">
        <v>0.231785</v>
      </c>
      <c r="W681" s="51"/>
      <c r="X681" s="51"/>
      <c r="Y681" s="51"/>
      <c r="Z681" s="50"/>
      <c r="AA681" s="73">
        <v>681</v>
      </c>
      <c r="AB681" s="73"/>
      <c r="AC681" s="74"/>
      <c r="AD681" s="81" t="s">
        <v>3110</v>
      </c>
      <c r="AE681" s="81"/>
      <c r="AF681" s="81"/>
      <c r="AG681" s="81"/>
      <c r="AH681" s="81"/>
      <c r="AI681" s="81" t="s">
        <v>3371</v>
      </c>
      <c r="AJ681" s="88">
        <v>40945.16440972222</v>
      </c>
      <c r="AK681" s="86" t="str">
        <f>HYPERLINK("https://yt3.ggpht.com/ytc/AIf8zZQK39YLZ_tPnYYz00mKvUeMsOeF2ksNGf6E1g0LK-F8GTKTlxvPlz_vDtf2vJSc=s88-c-k-c0x00ffffff-no-rj")</f>
        <v>https://yt3.ggpht.com/ytc/AIf8zZQK39YLZ_tPnYYz00mKvUeMsOeF2ksNGf6E1g0LK-F8GTKTlxvPlz_vDtf2vJSc=s88-c-k-c0x00ffffff-no-rj</v>
      </c>
      <c r="AL681" s="81">
        <v>0</v>
      </c>
      <c r="AM681" s="81">
        <v>0</v>
      </c>
      <c r="AN681" s="81">
        <v>0</v>
      </c>
      <c r="AO681" s="81" t="b">
        <v>0</v>
      </c>
      <c r="AP681" s="81">
        <v>0</v>
      </c>
      <c r="AQ681" s="81"/>
      <c r="AR681" s="81"/>
      <c r="AS681" s="81" t="s">
        <v>3378</v>
      </c>
      <c r="AT681" s="86" t="str">
        <f>HYPERLINK("https://www.youtube.com/channel/UCq2p2_pIUPNIaD_cR_ct2vw")</f>
        <v>https://www.youtube.com/channel/UCq2p2_pIUPNIaD_cR_ct2vw</v>
      </c>
      <c r="AU681" s="81" t="str">
        <f>REPLACE(INDEX(GroupVertices[Group],MATCH("~"&amp;Vertices[[#This Row],[Vertex]],GroupVertices[Vertex],0)),1,1,"")</f>
        <v>1</v>
      </c>
      <c r="AV681" s="49"/>
      <c r="AW681" s="49"/>
      <c r="AX681" s="49"/>
      <c r="AY681" s="49"/>
      <c r="AZ681" s="49"/>
      <c r="BA681" s="49"/>
      <c r="BB681" s="117" t="s">
        <v>4338</v>
      </c>
      <c r="BC681" s="117" t="s">
        <v>4338</v>
      </c>
      <c r="BD681" s="117" t="s">
        <v>5019</v>
      </c>
      <c r="BE681" s="117" t="s">
        <v>5019</v>
      </c>
      <c r="BF681" s="2"/>
      <c r="BG681" s="3"/>
      <c r="BH681" s="3"/>
      <c r="BI681" s="3"/>
      <c r="BJ681" s="3"/>
    </row>
    <row r="682" spans="1:62" ht="15">
      <c r="A682" s="66" t="s">
        <v>879</v>
      </c>
      <c r="B682" s="67"/>
      <c r="C682" s="67"/>
      <c r="D682" s="68">
        <v>50</v>
      </c>
      <c r="E682" s="70"/>
      <c r="F682" s="105" t="str">
        <f>HYPERLINK("https://yt3.ggpht.com/ytc/AIf8zZS_Tm6pHjeEP_QjIPI7p-cgNFzzBTR1dAsId17NvPhu7Q5c7PiIFtJ6zG5i8pGx=s88-c-k-c0x00ffffff-no-rj")</f>
        <v>https://yt3.ggpht.com/ytc/AIf8zZS_Tm6pHjeEP_QjIPI7p-cgNFzzBTR1dAsId17NvPhu7Q5c7PiIFtJ6zG5i8pGx=s88-c-k-c0x00ffffff-no-rj</v>
      </c>
      <c r="G682" s="67"/>
      <c r="H682" s="71" t="s">
        <v>3111</v>
      </c>
      <c r="I682" s="72"/>
      <c r="J682" s="72" t="s">
        <v>159</v>
      </c>
      <c r="K682" s="71" t="s">
        <v>3111</v>
      </c>
      <c r="L682" s="75">
        <v>1</v>
      </c>
      <c r="M682" s="76">
        <v>1184.197021484375</v>
      </c>
      <c r="N682" s="76">
        <v>8257.5185546875</v>
      </c>
      <c r="O682" s="77"/>
      <c r="P682" s="78"/>
      <c r="Q682" s="78"/>
      <c r="R682" s="90"/>
      <c r="S682" s="49">
        <v>0</v>
      </c>
      <c r="T682" s="49">
        <v>1</v>
      </c>
      <c r="U682" s="50">
        <v>0</v>
      </c>
      <c r="V682" s="50">
        <v>0.231785</v>
      </c>
      <c r="W682" s="51"/>
      <c r="X682" s="51"/>
      <c r="Y682" s="51"/>
      <c r="Z682" s="50"/>
      <c r="AA682" s="73">
        <v>682</v>
      </c>
      <c r="AB682" s="73"/>
      <c r="AC682" s="74"/>
      <c r="AD682" s="81" t="s">
        <v>3111</v>
      </c>
      <c r="AE682" s="81"/>
      <c r="AF682" s="81"/>
      <c r="AG682" s="81"/>
      <c r="AH682" s="81"/>
      <c r="AI682" s="81" t="s">
        <v>3372</v>
      </c>
      <c r="AJ682" s="88">
        <v>45250.8612037037</v>
      </c>
      <c r="AK682" s="86" t="str">
        <f>HYPERLINK("https://yt3.ggpht.com/ytc/AIf8zZS_Tm6pHjeEP_QjIPI7p-cgNFzzBTR1dAsId17NvPhu7Q5c7PiIFtJ6zG5i8pGx=s88-c-k-c0x00ffffff-no-rj")</f>
        <v>https://yt3.ggpht.com/ytc/AIf8zZS_Tm6pHjeEP_QjIPI7p-cgNFzzBTR1dAsId17NvPhu7Q5c7PiIFtJ6zG5i8pGx=s88-c-k-c0x00ffffff-no-rj</v>
      </c>
      <c r="AL682" s="81">
        <v>0</v>
      </c>
      <c r="AM682" s="81">
        <v>0</v>
      </c>
      <c r="AN682" s="81">
        <v>0</v>
      </c>
      <c r="AO682" s="81" t="b">
        <v>0</v>
      </c>
      <c r="AP682" s="81">
        <v>0</v>
      </c>
      <c r="AQ682" s="81"/>
      <c r="AR682" s="81"/>
      <c r="AS682" s="81" t="s">
        <v>3378</v>
      </c>
      <c r="AT682" s="86" t="str">
        <f>HYPERLINK("https://www.youtube.com/channel/UCZ3CTz-xiePrSuhw78kzkhg")</f>
        <v>https://www.youtube.com/channel/UCZ3CTz-xiePrSuhw78kzkhg</v>
      </c>
      <c r="AU682" s="81" t="str">
        <f>REPLACE(INDEX(GroupVertices[Group],MATCH("~"&amp;Vertices[[#This Row],[Vertex]],GroupVertices[Vertex],0)),1,1,"")</f>
        <v>1</v>
      </c>
      <c r="AV682" s="49"/>
      <c r="AW682" s="49"/>
      <c r="AX682" s="49"/>
      <c r="AY682" s="49"/>
      <c r="AZ682" s="49"/>
      <c r="BA682" s="49"/>
      <c r="BB682" s="117" t="s">
        <v>4339</v>
      </c>
      <c r="BC682" s="117" t="s">
        <v>4339</v>
      </c>
      <c r="BD682" s="117" t="s">
        <v>5020</v>
      </c>
      <c r="BE682" s="117" t="s">
        <v>5020</v>
      </c>
      <c r="BF682" s="2"/>
      <c r="BG682" s="3"/>
      <c r="BH682" s="3"/>
      <c r="BI682" s="3"/>
      <c r="BJ682" s="3"/>
    </row>
    <row r="683" spans="1:62" ht="15">
      <c r="A683" s="66" t="s">
        <v>880</v>
      </c>
      <c r="B683" s="67"/>
      <c r="C683" s="67"/>
      <c r="D683" s="68">
        <v>50</v>
      </c>
      <c r="E683" s="70"/>
      <c r="F683" s="105" t="str">
        <f>HYPERLINK("https://yt3.ggpht.com/ytc/AIf8zZRm8-msfZhczmk7PyGYB3zMrK_f8-FGeNhHoqAs=s88-c-k-c0x00ffffff-no-rj")</f>
        <v>https://yt3.ggpht.com/ytc/AIf8zZRm8-msfZhczmk7PyGYB3zMrK_f8-FGeNhHoqAs=s88-c-k-c0x00ffffff-no-rj</v>
      </c>
      <c r="G683" s="67"/>
      <c r="H683" s="71" t="s">
        <v>3112</v>
      </c>
      <c r="I683" s="72"/>
      <c r="J683" s="72" t="s">
        <v>159</v>
      </c>
      <c r="K683" s="71" t="s">
        <v>3112</v>
      </c>
      <c r="L683" s="75">
        <v>1</v>
      </c>
      <c r="M683" s="76">
        <v>3665.52001953125</v>
      </c>
      <c r="N683" s="76">
        <v>5972.9677734375</v>
      </c>
      <c r="O683" s="77"/>
      <c r="P683" s="78"/>
      <c r="Q683" s="78"/>
      <c r="R683" s="90"/>
      <c r="S683" s="49">
        <v>0</v>
      </c>
      <c r="T683" s="49">
        <v>1</v>
      </c>
      <c r="U683" s="50">
        <v>0</v>
      </c>
      <c r="V683" s="50">
        <v>0.231785</v>
      </c>
      <c r="W683" s="51"/>
      <c r="X683" s="51"/>
      <c r="Y683" s="51"/>
      <c r="Z683" s="50"/>
      <c r="AA683" s="73">
        <v>683</v>
      </c>
      <c r="AB683" s="73"/>
      <c r="AC683" s="74"/>
      <c r="AD683" s="81" t="s">
        <v>3112</v>
      </c>
      <c r="AE683" s="81"/>
      <c r="AF683" s="81"/>
      <c r="AG683" s="81"/>
      <c r="AH683" s="81"/>
      <c r="AI683" s="81" t="s">
        <v>3373</v>
      </c>
      <c r="AJ683" s="88">
        <v>40733.44847222222</v>
      </c>
      <c r="AK683" s="86" t="str">
        <f>HYPERLINK("https://yt3.ggpht.com/ytc/AIf8zZRm8-msfZhczmk7PyGYB3zMrK_f8-FGeNhHoqAs=s88-c-k-c0x00ffffff-no-rj")</f>
        <v>https://yt3.ggpht.com/ytc/AIf8zZRm8-msfZhczmk7PyGYB3zMrK_f8-FGeNhHoqAs=s88-c-k-c0x00ffffff-no-rj</v>
      </c>
      <c r="AL683" s="81">
        <v>0</v>
      </c>
      <c r="AM683" s="81">
        <v>0</v>
      </c>
      <c r="AN683" s="81">
        <v>0</v>
      </c>
      <c r="AO683" s="81" t="b">
        <v>0</v>
      </c>
      <c r="AP683" s="81">
        <v>0</v>
      </c>
      <c r="AQ683" s="81"/>
      <c r="AR683" s="81"/>
      <c r="AS683" s="81" t="s">
        <v>3378</v>
      </c>
      <c r="AT683" s="86" t="str">
        <f>HYPERLINK("https://www.youtube.com/channel/UChxaMZoD1pvKNbr5nvBcg0Q")</f>
        <v>https://www.youtube.com/channel/UChxaMZoD1pvKNbr5nvBcg0Q</v>
      </c>
      <c r="AU683" s="81" t="str">
        <f>REPLACE(INDEX(GroupVertices[Group],MATCH("~"&amp;Vertices[[#This Row],[Vertex]],GroupVertices[Vertex],0)),1,1,"")</f>
        <v>1</v>
      </c>
      <c r="AV683" s="49"/>
      <c r="AW683" s="49"/>
      <c r="AX683" s="49"/>
      <c r="AY683" s="49"/>
      <c r="AZ683" s="49"/>
      <c r="BA683" s="49"/>
      <c r="BB683" s="117" t="s">
        <v>4340</v>
      </c>
      <c r="BC683" s="117" t="s">
        <v>4340</v>
      </c>
      <c r="BD683" s="117" t="s">
        <v>5021</v>
      </c>
      <c r="BE683" s="117" t="s">
        <v>5021</v>
      </c>
      <c r="BF683" s="2"/>
      <c r="BG683" s="3"/>
      <c r="BH683" s="3"/>
      <c r="BI683" s="3"/>
      <c r="BJ683" s="3"/>
    </row>
    <row r="684" spans="1:62" ht="15">
      <c r="A684" s="66" t="s">
        <v>881</v>
      </c>
      <c r="B684" s="67"/>
      <c r="C684" s="67"/>
      <c r="D684" s="68">
        <v>50</v>
      </c>
      <c r="E684" s="70"/>
      <c r="F684" s="105" t="str">
        <f>HYPERLINK("https://yt3.ggpht.com/iE5QOTXmn1gYeMU09Txu3Vt6zbef-xhWvbFNkITcUtR86qT4ulvWRk7ClD1GoyPTKjeS0eYszQ=s88-c-k-c0x00ffffff-no-rj")</f>
        <v>https://yt3.ggpht.com/iE5QOTXmn1gYeMU09Txu3Vt6zbef-xhWvbFNkITcUtR86qT4ulvWRk7ClD1GoyPTKjeS0eYszQ=s88-c-k-c0x00ffffff-no-rj</v>
      </c>
      <c r="G684" s="67"/>
      <c r="H684" s="71" t="s">
        <v>3113</v>
      </c>
      <c r="I684" s="72"/>
      <c r="J684" s="72" t="s">
        <v>159</v>
      </c>
      <c r="K684" s="71" t="s">
        <v>3113</v>
      </c>
      <c r="L684" s="75">
        <v>1</v>
      </c>
      <c r="M684" s="76">
        <v>2654.548095703125</v>
      </c>
      <c r="N684" s="76">
        <v>8973.2802734375</v>
      </c>
      <c r="O684" s="77"/>
      <c r="P684" s="78"/>
      <c r="Q684" s="78"/>
      <c r="R684" s="90"/>
      <c r="S684" s="49">
        <v>0</v>
      </c>
      <c r="T684" s="49">
        <v>1</v>
      </c>
      <c r="U684" s="50">
        <v>0</v>
      </c>
      <c r="V684" s="50">
        <v>0.231785</v>
      </c>
      <c r="W684" s="51"/>
      <c r="X684" s="51"/>
      <c r="Y684" s="51"/>
      <c r="Z684" s="50"/>
      <c r="AA684" s="73">
        <v>684</v>
      </c>
      <c r="AB684" s="73"/>
      <c r="AC684" s="74"/>
      <c r="AD684" s="81" t="s">
        <v>3113</v>
      </c>
      <c r="AE684" s="81"/>
      <c r="AF684" s="81"/>
      <c r="AG684" s="81"/>
      <c r="AH684" s="81"/>
      <c r="AI684" s="81" t="s">
        <v>3374</v>
      </c>
      <c r="AJ684" s="88">
        <v>41831.05232638889</v>
      </c>
      <c r="AK684" s="86" t="str">
        <f>HYPERLINK("https://yt3.ggpht.com/iE5QOTXmn1gYeMU09Txu3Vt6zbef-xhWvbFNkITcUtR86qT4ulvWRk7ClD1GoyPTKjeS0eYszQ=s88-c-k-c0x00ffffff-no-rj")</f>
        <v>https://yt3.ggpht.com/iE5QOTXmn1gYeMU09Txu3Vt6zbef-xhWvbFNkITcUtR86qT4ulvWRk7ClD1GoyPTKjeS0eYszQ=s88-c-k-c0x00ffffff-no-rj</v>
      </c>
      <c r="AL684" s="81">
        <v>0</v>
      </c>
      <c r="AM684" s="81">
        <v>0</v>
      </c>
      <c r="AN684" s="81">
        <v>0</v>
      </c>
      <c r="AO684" s="81" t="b">
        <v>0</v>
      </c>
      <c r="AP684" s="81">
        <v>0</v>
      </c>
      <c r="AQ684" s="81"/>
      <c r="AR684" s="81"/>
      <c r="AS684" s="81" t="s">
        <v>3378</v>
      </c>
      <c r="AT684" s="86" t="str">
        <f>HYPERLINK("https://www.youtube.com/channel/UCLtVjbKCEUXG6iYlLNtzW8g")</f>
        <v>https://www.youtube.com/channel/UCLtVjbKCEUXG6iYlLNtzW8g</v>
      </c>
      <c r="AU684" s="81" t="str">
        <f>REPLACE(INDEX(GroupVertices[Group],MATCH("~"&amp;Vertices[[#This Row],[Vertex]],GroupVertices[Vertex],0)),1,1,"")</f>
        <v>1</v>
      </c>
      <c r="AV684" s="49"/>
      <c r="AW684" s="49"/>
      <c r="AX684" s="49"/>
      <c r="AY684" s="49"/>
      <c r="AZ684" s="49"/>
      <c r="BA684" s="49"/>
      <c r="BB684" s="117" t="s">
        <v>4341</v>
      </c>
      <c r="BC684" s="117" t="s">
        <v>4341</v>
      </c>
      <c r="BD684" s="117" t="s">
        <v>5022</v>
      </c>
      <c r="BE684" s="117" t="s">
        <v>5022</v>
      </c>
      <c r="BF684" s="2"/>
      <c r="BG684" s="3"/>
      <c r="BH684" s="3"/>
      <c r="BI684" s="3"/>
      <c r="BJ684" s="3"/>
    </row>
    <row r="685" spans="1:62" ht="15">
      <c r="A685" s="66" t="s">
        <v>882</v>
      </c>
      <c r="B685" s="67"/>
      <c r="C685" s="67"/>
      <c r="D685" s="68">
        <v>50</v>
      </c>
      <c r="E685" s="70"/>
      <c r="F685" s="105" t="str">
        <f>HYPERLINK("https://yt3.ggpht.com/ytc/AIf8zZSRr67dipBtXzFlrE99mi6Zq6fyXiwxLt2G1lsOgmUzTKr8UwVWHHRJ_lkiBREy=s88-c-k-c0x00ffffff-no-rj")</f>
        <v>https://yt3.ggpht.com/ytc/AIf8zZSRr67dipBtXzFlrE99mi6Zq6fyXiwxLt2G1lsOgmUzTKr8UwVWHHRJ_lkiBREy=s88-c-k-c0x00ffffff-no-rj</v>
      </c>
      <c r="G685" s="67"/>
      <c r="H685" s="71" t="s">
        <v>3114</v>
      </c>
      <c r="I685" s="72"/>
      <c r="J685" s="72" t="s">
        <v>159</v>
      </c>
      <c r="K685" s="71" t="s">
        <v>3114</v>
      </c>
      <c r="L685" s="75">
        <v>1</v>
      </c>
      <c r="M685" s="76">
        <v>1342.4749755859375</v>
      </c>
      <c r="N685" s="76">
        <v>3891.196533203125</v>
      </c>
      <c r="O685" s="77"/>
      <c r="P685" s="78"/>
      <c r="Q685" s="78"/>
      <c r="R685" s="90"/>
      <c r="S685" s="49">
        <v>0</v>
      </c>
      <c r="T685" s="49">
        <v>1</v>
      </c>
      <c r="U685" s="50">
        <v>0</v>
      </c>
      <c r="V685" s="50">
        <v>0.231785</v>
      </c>
      <c r="W685" s="51"/>
      <c r="X685" s="51"/>
      <c r="Y685" s="51"/>
      <c r="Z685" s="50"/>
      <c r="AA685" s="73">
        <v>685</v>
      </c>
      <c r="AB685" s="73"/>
      <c r="AC685" s="74"/>
      <c r="AD685" s="81" t="s">
        <v>3114</v>
      </c>
      <c r="AE685" s="81"/>
      <c r="AF685" s="81"/>
      <c r="AG685" s="81"/>
      <c r="AH685" s="81"/>
      <c r="AI685" s="81" t="s">
        <v>2348</v>
      </c>
      <c r="AJ685" s="88">
        <v>45257.533796296295</v>
      </c>
      <c r="AK685" s="86" t="str">
        <f>HYPERLINK("https://yt3.ggpht.com/ytc/AIf8zZSRr67dipBtXzFlrE99mi6Zq6fyXiwxLt2G1lsOgmUzTKr8UwVWHHRJ_lkiBREy=s88-c-k-c0x00ffffff-no-rj")</f>
        <v>https://yt3.ggpht.com/ytc/AIf8zZSRr67dipBtXzFlrE99mi6Zq6fyXiwxLt2G1lsOgmUzTKr8UwVWHHRJ_lkiBREy=s88-c-k-c0x00ffffff-no-rj</v>
      </c>
      <c r="AL685" s="81">
        <v>0</v>
      </c>
      <c r="AM685" s="81">
        <v>0</v>
      </c>
      <c r="AN685" s="81">
        <v>0</v>
      </c>
      <c r="AO685" s="81" t="b">
        <v>0</v>
      </c>
      <c r="AP685" s="81">
        <v>0</v>
      </c>
      <c r="AQ685" s="81"/>
      <c r="AR685" s="81"/>
      <c r="AS685" s="81" t="s">
        <v>3378</v>
      </c>
      <c r="AT685" s="86" t="str">
        <f>HYPERLINK("https://www.youtube.com/channel/UCq4IgxLNnJQm2_144ae2bzw")</f>
        <v>https://www.youtube.com/channel/UCq4IgxLNnJQm2_144ae2bzw</v>
      </c>
      <c r="AU685" s="81" t="str">
        <f>REPLACE(INDEX(GroupVertices[Group],MATCH("~"&amp;Vertices[[#This Row],[Vertex]],GroupVertices[Vertex],0)),1,1,"")</f>
        <v>1</v>
      </c>
      <c r="AV685" s="49"/>
      <c r="AW685" s="49"/>
      <c r="AX685" s="49"/>
      <c r="AY685" s="49"/>
      <c r="AZ685" s="49"/>
      <c r="BA685" s="49"/>
      <c r="BB685" s="117" t="s">
        <v>4342</v>
      </c>
      <c r="BC685" s="117" t="s">
        <v>4342</v>
      </c>
      <c r="BD685" s="117" t="s">
        <v>5023</v>
      </c>
      <c r="BE685" s="117" t="s">
        <v>5023</v>
      </c>
      <c r="BF685" s="2"/>
      <c r="BG685" s="3"/>
      <c r="BH685" s="3"/>
      <c r="BI685" s="3"/>
      <c r="BJ685" s="3"/>
    </row>
    <row r="686" spans="1:62" ht="15">
      <c r="A686" s="66" t="s">
        <v>883</v>
      </c>
      <c r="B686" s="67"/>
      <c r="C686" s="67"/>
      <c r="D686" s="68">
        <v>50</v>
      </c>
      <c r="E686" s="70"/>
      <c r="F686" s="105" t="str">
        <f>HYPERLINK("https://yt3.ggpht.com/ytc/AIf8zZR9D63OAE54Y3nXzekBmcfYXRpV8jK3KIItsGZQ5Bs=s88-c-k-c0x00ffffff-no-rj")</f>
        <v>https://yt3.ggpht.com/ytc/AIf8zZR9D63OAE54Y3nXzekBmcfYXRpV8jK3KIItsGZQ5Bs=s88-c-k-c0x00ffffff-no-rj</v>
      </c>
      <c r="G686" s="67"/>
      <c r="H686" s="71" t="s">
        <v>3115</v>
      </c>
      <c r="I686" s="72"/>
      <c r="J686" s="72" t="s">
        <v>159</v>
      </c>
      <c r="K686" s="71" t="s">
        <v>3115</v>
      </c>
      <c r="L686" s="75">
        <v>1</v>
      </c>
      <c r="M686" s="76">
        <v>2550.92236328125</v>
      </c>
      <c r="N686" s="76">
        <v>4527.87890625</v>
      </c>
      <c r="O686" s="77"/>
      <c r="P686" s="78"/>
      <c r="Q686" s="78"/>
      <c r="R686" s="90"/>
      <c r="S686" s="49">
        <v>0</v>
      </c>
      <c r="T686" s="49">
        <v>1</v>
      </c>
      <c r="U686" s="50">
        <v>0</v>
      </c>
      <c r="V686" s="50">
        <v>0.231785</v>
      </c>
      <c r="W686" s="51"/>
      <c r="X686" s="51"/>
      <c r="Y686" s="51"/>
      <c r="Z686" s="50"/>
      <c r="AA686" s="73">
        <v>686</v>
      </c>
      <c r="AB686" s="73"/>
      <c r="AC686" s="74"/>
      <c r="AD686" s="81" t="s">
        <v>3115</v>
      </c>
      <c r="AE686" s="81"/>
      <c r="AF686" s="81"/>
      <c r="AG686" s="81"/>
      <c r="AH686" s="81"/>
      <c r="AI686" s="81" t="s">
        <v>2349</v>
      </c>
      <c r="AJ686" s="88">
        <v>42352.07030092592</v>
      </c>
      <c r="AK686" s="86" t="str">
        <f>HYPERLINK("https://yt3.ggpht.com/ytc/AIf8zZR9D63OAE54Y3nXzekBmcfYXRpV8jK3KIItsGZQ5Bs=s88-c-k-c0x00ffffff-no-rj")</f>
        <v>https://yt3.ggpht.com/ytc/AIf8zZR9D63OAE54Y3nXzekBmcfYXRpV8jK3KIItsGZQ5Bs=s88-c-k-c0x00ffffff-no-rj</v>
      </c>
      <c r="AL686" s="81">
        <v>0</v>
      </c>
      <c r="AM686" s="81">
        <v>0</v>
      </c>
      <c r="AN686" s="81">
        <v>0</v>
      </c>
      <c r="AO686" s="81" t="b">
        <v>0</v>
      </c>
      <c r="AP686" s="81">
        <v>0</v>
      </c>
      <c r="AQ686" s="81"/>
      <c r="AR686" s="81"/>
      <c r="AS686" s="81" t="s">
        <v>3378</v>
      </c>
      <c r="AT686" s="86" t="str">
        <f>HYPERLINK("https://www.youtube.com/channel/UCq_jWnjVYU23_Ygnbr2oNkQ")</f>
        <v>https://www.youtube.com/channel/UCq_jWnjVYU23_Ygnbr2oNkQ</v>
      </c>
      <c r="AU686" s="81" t="str">
        <f>REPLACE(INDEX(GroupVertices[Group],MATCH("~"&amp;Vertices[[#This Row],[Vertex]],GroupVertices[Vertex],0)),1,1,"")</f>
        <v>1</v>
      </c>
      <c r="AV686" s="49"/>
      <c r="AW686" s="49"/>
      <c r="AX686" s="49"/>
      <c r="AY686" s="49"/>
      <c r="AZ686" s="49"/>
      <c r="BA686" s="49"/>
      <c r="BB686" s="117" t="s">
        <v>4343</v>
      </c>
      <c r="BC686" s="117" t="s">
        <v>4386</v>
      </c>
      <c r="BD686" s="117" t="s">
        <v>5024</v>
      </c>
      <c r="BE686" s="117" t="s">
        <v>5024</v>
      </c>
      <c r="BF686" s="2"/>
      <c r="BG686" s="3"/>
      <c r="BH686" s="3"/>
      <c r="BI686" s="3"/>
      <c r="BJ686" s="3"/>
    </row>
    <row r="687" spans="1:62" ht="15">
      <c r="A687" s="66" t="s">
        <v>884</v>
      </c>
      <c r="B687" s="67"/>
      <c r="C687" s="67"/>
      <c r="D687" s="68">
        <v>50</v>
      </c>
      <c r="E687" s="70"/>
      <c r="F687" s="105" t="str">
        <f>HYPERLINK("https://yt3.ggpht.com/ytc/AIf8zZQrmJhwp8IOGwmKYNmr1naOlGA7VKbABR-53zjL=s88-c-k-c0x00ffffff-no-rj")</f>
        <v>https://yt3.ggpht.com/ytc/AIf8zZQrmJhwp8IOGwmKYNmr1naOlGA7VKbABR-53zjL=s88-c-k-c0x00ffffff-no-rj</v>
      </c>
      <c r="G687" s="67"/>
      <c r="H687" s="71" t="s">
        <v>3116</v>
      </c>
      <c r="I687" s="72"/>
      <c r="J687" s="72" t="s">
        <v>159</v>
      </c>
      <c r="K687" s="71" t="s">
        <v>3116</v>
      </c>
      <c r="L687" s="75">
        <v>1</v>
      </c>
      <c r="M687" s="76">
        <v>1327.2794189453125</v>
      </c>
      <c r="N687" s="76">
        <v>6238.49560546875</v>
      </c>
      <c r="O687" s="77"/>
      <c r="P687" s="78"/>
      <c r="Q687" s="78"/>
      <c r="R687" s="90"/>
      <c r="S687" s="49">
        <v>0</v>
      </c>
      <c r="T687" s="49">
        <v>1</v>
      </c>
      <c r="U687" s="50">
        <v>0</v>
      </c>
      <c r="V687" s="50">
        <v>0.231785</v>
      </c>
      <c r="W687" s="51"/>
      <c r="X687" s="51"/>
      <c r="Y687" s="51"/>
      <c r="Z687" s="50"/>
      <c r="AA687" s="73">
        <v>687</v>
      </c>
      <c r="AB687" s="73"/>
      <c r="AC687" s="74"/>
      <c r="AD687" s="81" t="s">
        <v>3116</v>
      </c>
      <c r="AE687" s="81"/>
      <c r="AF687" s="81"/>
      <c r="AG687" s="81"/>
      <c r="AH687" s="81"/>
      <c r="AI687" s="81" t="s">
        <v>2350</v>
      </c>
      <c r="AJ687" s="88">
        <v>41396.126805555556</v>
      </c>
      <c r="AK687" s="86" t="str">
        <f>HYPERLINK("https://yt3.ggpht.com/ytc/AIf8zZQrmJhwp8IOGwmKYNmr1naOlGA7VKbABR-53zjL=s88-c-k-c0x00ffffff-no-rj")</f>
        <v>https://yt3.ggpht.com/ytc/AIf8zZQrmJhwp8IOGwmKYNmr1naOlGA7VKbABR-53zjL=s88-c-k-c0x00ffffff-no-rj</v>
      </c>
      <c r="AL687" s="81">
        <v>0</v>
      </c>
      <c r="AM687" s="81">
        <v>0</v>
      </c>
      <c r="AN687" s="81">
        <v>1</v>
      </c>
      <c r="AO687" s="81" t="b">
        <v>0</v>
      </c>
      <c r="AP687" s="81">
        <v>0</v>
      </c>
      <c r="AQ687" s="81"/>
      <c r="AR687" s="81"/>
      <c r="AS687" s="81" t="s">
        <v>3378</v>
      </c>
      <c r="AT687" s="86" t="str">
        <f>HYPERLINK("https://www.youtube.com/channel/UCjLcr3A_CtYzH9rzOr-YtgA")</f>
        <v>https://www.youtube.com/channel/UCjLcr3A_CtYzH9rzOr-YtgA</v>
      </c>
      <c r="AU687" s="81" t="str">
        <f>REPLACE(INDEX(GroupVertices[Group],MATCH("~"&amp;Vertices[[#This Row],[Vertex]],GroupVertices[Vertex],0)),1,1,"")</f>
        <v>1</v>
      </c>
      <c r="AV687" s="49"/>
      <c r="AW687" s="49"/>
      <c r="AX687" s="49"/>
      <c r="AY687" s="49"/>
      <c r="AZ687" s="49"/>
      <c r="BA687" s="49"/>
      <c r="BB687" s="117" t="s">
        <v>4344</v>
      </c>
      <c r="BC687" s="117" t="s">
        <v>4344</v>
      </c>
      <c r="BD687" s="117" t="s">
        <v>5025</v>
      </c>
      <c r="BE687" s="117" t="s">
        <v>5025</v>
      </c>
      <c r="BF687" s="2"/>
      <c r="BG687" s="3"/>
      <c r="BH687" s="3"/>
      <c r="BI687" s="3"/>
      <c r="BJ687" s="3"/>
    </row>
    <row r="688" spans="1:62" ht="15">
      <c r="A688" s="66" t="s">
        <v>885</v>
      </c>
      <c r="B688" s="67"/>
      <c r="C688" s="67"/>
      <c r="D688" s="68">
        <v>50</v>
      </c>
      <c r="E688" s="70"/>
      <c r="F688" s="105" t="str">
        <f>HYPERLINK("https://yt3.ggpht.com/ytc/AIf8zZT73O0vu0LTzUYKaAYAZPPPRZx0faaevs1xijyz=s88-c-k-c0x00ffffff-no-rj")</f>
        <v>https://yt3.ggpht.com/ytc/AIf8zZT73O0vu0LTzUYKaAYAZPPPRZx0faaevs1xijyz=s88-c-k-c0x00ffffff-no-rj</v>
      </c>
      <c r="G688" s="67"/>
      <c r="H688" s="71" t="s">
        <v>3117</v>
      </c>
      <c r="I688" s="72"/>
      <c r="J688" s="72" t="s">
        <v>159</v>
      </c>
      <c r="K688" s="71" t="s">
        <v>3117</v>
      </c>
      <c r="L688" s="75">
        <v>1</v>
      </c>
      <c r="M688" s="76">
        <v>3578.241455078125</v>
      </c>
      <c r="N688" s="76">
        <v>5618.98193359375</v>
      </c>
      <c r="O688" s="77"/>
      <c r="P688" s="78"/>
      <c r="Q688" s="78"/>
      <c r="R688" s="90"/>
      <c r="S688" s="49">
        <v>0</v>
      </c>
      <c r="T688" s="49">
        <v>1</v>
      </c>
      <c r="U688" s="50">
        <v>0</v>
      </c>
      <c r="V688" s="50">
        <v>0.231785</v>
      </c>
      <c r="W688" s="51"/>
      <c r="X688" s="51"/>
      <c r="Y688" s="51"/>
      <c r="Z688" s="50"/>
      <c r="AA688" s="73">
        <v>688</v>
      </c>
      <c r="AB688" s="73"/>
      <c r="AC688" s="74"/>
      <c r="AD688" s="81" t="s">
        <v>3117</v>
      </c>
      <c r="AE688" s="81"/>
      <c r="AF688" s="81"/>
      <c r="AG688" s="81"/>
      <c r="AH688" s="81"/>
      <c r="AI688" s="81" t="s">
        <v>2351</v>
      </c>
      <c r="AJ688" s="88">
        <v>39517.105208333334</v>
      </c>
      <c r="AK688" s="86" t="str">
        <f>HYPERLINK("https://yt3.ggpht.com/ytc/AIf8zZT73O0vu0LTzUYKaAYAZPPPRZx0faaevs1xijyz=s88-c-k-c0x00ffffff-no-rj")</f>
        <v>https://yt3.ggpht.com/ytc/AIf8zZT73O0vu0LTzUYKaAYAZPPPRZx0faaevs1xijyz=s88-c-k-c0x00ffffff-no-rj</v>
      </c>
      <c r="AL688" s="81">
        <v>0</v>
      </c>
      <c r="AM688" s="81">
        <v>0</v>
      </c>
      <c r="AN688" s="81">
        <v>7</v>
      </c>
      <c r="AO688" s="81" t="b">
        <v>0</v>
      </c>
      <c r="AP688" s="81">
        <v>0</v>
      </c>
      <c r="AQ688" s="81"/>
      <c r="AR688" s="81"/>
      <c r="AS688" s="81" t="s">
        <v>3378</v>
      </c>
      <c r="AT688" s="86" t="str">
        <f>HYPERLINK("https://www.youtube.com/channel/UCMChMHYrzEqbfqoSDECldlA")</f>
        <v>https://www.youtube.com/channel/UCMChMHYrzEqbfqoSDECldlA</v>
      </c>
      <c r="AU688" s="81" t="str">
        <f>REPLACE(INDEX(GroupVertices[Group],MATCH("~"&amp;Vertices[[#This Row],[Vertex]],GroupVertices[Vertex],0)),1,1,"")</f>
        <v>1</v>
      </c>
      <c r="AV688" s="49"/>
      <c r="AW688" s="49"/>
      <c r="AX688" s="49"/>
      <c r="AY688" s="49"/>
      <c r="AZ688" s="49"/>
      <c r="BA688" s="49"/>
      <c r="BB688" s="117" t="s">
        <v>4345</v>
      </c>
      <c r="BC688" s="117" t="s">
        <v>4345</v>
      </c>
      <c r="BD688" s="117" t="s">
        <v>5026</v>
      </c>
      <c r="BE688" s="117" t="s">
        <v>5026</v>
      </c>
      <c r="BF688" s="2"/>
      <c r="BG688" s="3"/>
      <c r="BH688" s="3"/>
      <c r="BI688" s="3"/>
      <c r="BJ688" s="3"/>
    </row>
    <row r="689" spans="1:62" ht="15">
      <c r="A689" s="66" t="s">
        <v>886</v>
      </c>
      <c r="B689" s="67"/>
      <c r="C689" s="67"/>
      <c r="D689" s="68">
        <v>50</v>
      </c>
      <c r="E689" s="70"/>
      <c r="F689" s="105" t="str">
        <f>HYPERLINK("https://yt3.ggpht.com/ad3X40holEwYSegy1sZXggg-mlT_oEBqGnTOGzgc9lG5iEU8M-qswJKkAdiD16Nxjse17gmW=s88-c-k-c0x00ffffff-no-rj")</f>
        <v>https://yt3.ggpht.com/ad3X40holEwYSegy1sZXggg-mlT_oEBqGnTOGzgc9lG5iEU8M-qswJKkAdiD16Nxjse17gmW=s88-c-k-c0x00ffffff-no-rj</v>
      </c>
      <c r="G689" s="67"/>
      <c r="H689" s="71" t="s">
        <v>3118</v>
      </c>
      <c r="I689" s="72"/>
      <c r="J689" s="72" t="s">
        <v>159</v>
      </c>
      <c r="K689" s="71" t="s">
        <v>3118</v>
      </c>
      <c r="L689" s="75">
        <v>1</v>
      </c>
      <c r="M689" s="76">
        <v>3362.538818359375</v>
      </c>
      <c r="N689" s="76">
        <v>7596.39794921875</v>
      </c>
      <c r="O689" s="77"/>
      <c r="P689" s="78"/>
      <c r="Q689" s="78"/>
      <c r="R689" s="90"/>
      <c r="S689" s="49">
        <v>0</v>
      </c>
      <c r="T689" s="49">
        <v>1</v>
      </c>
      <c r="U689" s="50">
        <v>0</v>
      </c>
      <c r="V689" s="50">
        <v>0.231785</v>
      </c>
      <c r="W689" s="51"/>
      <c r="X689" s="51"/>
      <c r="Y689" s="51"/>
      <c r="Z689" s="50"/>
      <c r="AA689" s="73">
        <v>689</v>
      </c>
      <c r="AB689" s="73"/>
      <c r="AC689" s="74"/>
      <c r="AD689" s="81" t="s">
        <v>3118</v>
      </c>
      <c r="AE689" s="81" t="s">
        <v>3225</v>
      </c>
      <c r="AF689" s="81"/>
      <c r="AG689" s="81"/>
      <c r="AH689" s="81"/>
      <c r="AI689" s="81" t="s">
        <v>3375</v>
      </c>
      <c r="AJ689" s="88">
        <v>40193.39925925926</v>
      </c>
      <c r="AK689" s="86" t="str">
        <f>HYPERLINK("https://yt3.ggpht.com/ad3X40holEwYSegy1sZXggg-mlT_oEBqGnTOGzgc9lG5iEU8M-qswJKkAdiD16Nxjse17gmW=s88-c-k-c0x00ffffff-no-rj")</f>
        <v>https://yt3.ggpht.com/ad3X40holEwYSegy1sZXggg-mlT_oEBqGnTOGzgc9lG5iEU8M-qswJKkAdiD16Nxjse17gmW=s88-c-k-c0x00ffffff-no-rj</v>
      </c>
      <c r="AL689" s="81">
        <v>2443</v>
      </c>
      <c r="AM689" s="81">
        <v>0</v>
      </c>
      <c r="AN689" s="81">
        <v>22</v>
      </c>
      <c r="AO689" s="81" t="b">
        <v>0</v>
      </c>
      <c r="AP689" s="81">
        <v>189</v>
      </c>
      <c r="AQ689" s="81"/>
      <c r="AR689" s="81"/>
      <c r="AS689" s="81" t="s">
        <v>3378</v>
      </c>
      <c r="AT689" s="86" t="str">
        <f>HYPERLINK("https://www.youtube.com/channel/UCNbW80cX_mYoE1XaBAlVaTg")</f>
        <v>https://www.youtube.com/channel/UCNbW80cX_mYoE1XaBAlVaTg</v>
      </c>
      <c r="AU689" s="81" t="str">
        <f>REPLACE(INDEX(GroupVertices[Group],MATCH("~"&amp;Vertices[[#This Row],[Vertex]],GroupVertices[Vertex],0)),1,1,"")</f>
        <v>1</v>
      </c>
      <c r="AV689" s="49"/>
      <c r="AW689" s="49"/>
      <c r="AX689" s="49"/>
      <c r="AY689" s="49"/>
      <c r="AZ689" s="49"/>
      <c r="BA689" s="49"/>
      <c r="BB689" s="117" t="s">
        <v>3735</v>
      </c>
      <c r="BC689" s="117" t="s">
        <v>3735</v>
      </c>
      <c r="BD689" s="117" t="s">
        <v>4438</v>
      </c>
      <c r="BE689" s="117" t="s">
        <v>4438</v>
      </c>
      <c r="BF689" s="2"/>
      <c r="BG689" s="3"/>
      <c r="BH689" s="3"/>
      <c r="BI689" s="3"/>
      <c r="BJ689" s="3"/>
    </row>
    <row r="690" spans="1:62" ht="15">
      <c r="A690" s="66" t="s">
        <v>887</v>
      </c>
      <c r="B690" s="67"/>
      <c r="C690" s="67"/>
      <c r="D690" s="68">
        <v>50</v>
      </c>
      <c r="E690" s="70"/>
      <c r="F690" s="105" t="str">
        <f>HYPERLINK("https://yt3.ggpht.com/f5Njwy2n3U0hjnSLs-XBkIZZGThSN3rpE0SqoVNJ1VMSL5R27uKh5a9nT35txfu2_mKLNt7Azg=s88-c-k-c0x00ffffff-no-rj")</f>
        <v>https://yt3.ggpht.com/f5Njwy2n3U0hjnSLs-XBkIZZGThSN3rpE0SqoVNJ1VMSL5R27uKh5a9nT35txfu2_mKLNt7Azg=s88-c-k-c0x00ffffff-no-rj</v>
      </c>
      <c r="G690" s="67"/>
      <c r="H690" s="71" t="s">
        <v>3119</v>
      </c>
      <c r="I690" s="72"/>
      <c r="J690" s="72" t="s">
        <v>159</v>
      </c>
      <c r="K690" s="71" t="s">
        <v>3119</v>
      </c>
      <c r="L690" s="75">
        <v>1</v>
      </c>
      <c r="M690" s="76">
        <v>574.410888671875</v>
      </c>
      <c r="N690" s="76">
        <v>4885.92822265625</v>
      </c>
      <c r="O690" s="77"/>
      <c r="P690" s="78"/>
      <c r="Q690" s="78"/>
      <c r="R690" s="90"/>
      <c r="S690" s="49">
        <v>0</v>
      </c>
      <c r="T690" s="49">
        <v>1</v>
      </c>
      <c r="U690" s="50">
        <v>0</v>
      </c>
      <c r="V690" s="50">
        <v>0.231785</v>
      </c>
      <c r="W690" s="51"/>
      <c r="X690" s="51"/>
      <c r="Y690" s="51"/>
      <c r="Z690" s="50"/>
      <c r="AA690" s="73">
        <v>690</v>
      </c>
      <c r="AB690" s="73"/>
      <c r="AC690" s="74"/>
      <c r="AD690" s="81" t="s">
        <v>3119</v>
      </c>
      <c r="AE690" s="81"/>
      <c r="AF690" s="81"/>
      <c r="AG690" s="81"/>
      <c r="AH690" s="81"/>
      <c r="AI690" s="81" t="s">
        <v>2353</v>
      </c>
      <c r="AJ690" s="88">
        <v>40820.03460648148</v>
      </c>
      <c r="AK690" s="86" t="str">
        <f>HYPERLINK("https://yt3.ggpht.com/f5Njwy2n3U0hjnSLs-XBkIZZGThSN3rpE0SqoVNJ1VMSL5R27uKh5a9nT35txfu2_mKLNt7Azg=s88-c-k-c0x00ffffff-no-rj")</f>
        <v>https://yt3.ggpht.com/f5Njwy2n3U0hjnSLs-XBkIZZGThSN3rpE0SqoVNJ1VMSL5R27uKh5a9nT35txfu2_mKLNt7Azg=s88-c-k-c0x00ffffff-no-rj</v>
      </c>
      <c r="AL690" s="81">
        <v>0</v>
      </c>
      <c r="AM690" s="81">
        <v>0</v>
      </c>
      <c r="AN690" s="81">
        <v>0</v>
      </c>
      <c r="AO690" s="81" t="b">
        <v>0</v>
      </c>
      <c r="AP690" s="81">
        <v>0</v>
      </c>
      <c r="AQ690" s="81"/>
      <c r="AR690" s="81"/>
      <c r="AS690" s="81" t="s">
        <v>3378</v>
      </c>
      <c r="AT690" s="86" t="str">
        <f>HYPERLINK("https://www.youtube.com/channel/UCQaCBwgxWpWVvIfTuGkbzqw")</f>
        <v>https://www.youtube.com/channel/UCQaCBwgxWpWVvIfTuGkbzqw</v>
      </c>
      <c r="AU690" s="81" t="str">
        <f>REPLACE(INDEX(GroupVertices[Group],MATCH("~"&amp;Vertices[[#This Row],[Vertex]],GroupVertices[Vertex],0)),1,1,"")</f>
        <v>1</v>
      </c>
      <c r="AV690" s="49"/>
      <c r="AW690" s="49"/>
      <c r="AX690" s="49"/>
      <c r="AY690" s="49"/>
      <c r="AZ690" s="49"/>
      <c r="BA690" s="49"/>
      <c r="BB690" s="117" t="s">
        <v>4346</v>
      </c>
      <c r="BC690" s="117" t="s">
        <v>4346</v>
      </c>
      <c r="BD690" s="117" t="s">
        <v>5027</v>
      </c>
      <c r="BE690" s="117" t="s">
        <v>5027</v>
      </c>
      <c r="BF690" s="2"/>
      <c r="BG690" s="3"/>
      <c r="BH690" s="3"/>
      <c r="BI690" s="3"/>
      <c r="BJ690" s="3"/>
    </row>
    <row r="691" spans="1:62" ht="15">
      <c r="A691" s="66" t="s">
        <v>888</v>
      </c>
      <c r="B691" s="67"/>
      <c r="C691" s="67"/>
      <c r="D691" s="68">
        <v>50</v>
      </c>
      <c r="E691" s="70"/>
      <c r="F691" s="105" t="str">
        <f>HYPERLINK("https://yt3.ggpht.com/ytc/AIf8zZRpB8sPTSfUyi2PM7FVaevgRrcufPL7v6w4tknjoZ0=s88-c-k-c0x00ffffff-no-rj")</f>
        <v>https://yt3.ggpht.com/ytc/AIf8zZRpB8sPTSfUyi2PM7FVaevgRrcufPL7v6w4tknjoZ0=s88-c-k-c0x00ffffff-no-rj</v>
      </c>
      <c r="G691" s="67"/>
      <c r="H691" s="71" t="s">
        <v>3120</v>
      </c>
      <c r="I691" s="72"/>
      <c r="J691" s="72" t="s">
        <v>159</v>
      </c>
      <c r="K691" s="71" t="s">
        <v>3120</v>
      </c>
      <c r="L691" s="75">
        <v>1</v>
      </c>
      <c r="M691" s="76">
        <v>2489.29296875</v>
      </c>
      <c r="N691" s="76">
        <v>4782.62451171875</v>
      </c>
      <c r="O691" s="77"/>
      <c r="P691" s="78"/>
      <c r="Q691" s="78"/>
      <c r="R691" s="90"/>
      <c r="S691" s="49">
        <v>0</v>
      </c>
      <c r="T691" s="49">
        <v>1</v>
      </c>
      <c r="U691" s="50">
        <v>0</v>
      </c>
      <c r="V691" s="50">
        <v>0.231785</v>
      </c>
      <c r="W691" s="51"/>
      <c r="X691" s="51"/>
      <c r="Y691" s="51"/>
      <c r="Z691" s="50"/>
      <c r="AA691" s="73">
        <v>691</v>
      </c>
      <c r="AB691" s="73"/>
      <c r="AC691" s="74"/>
      <c r="AD691" s="81" t="s">
        <v>3120</v>
      </c>
      <c r="AE691" s="81"/>
      <c r="AF691" s="81"/>
      <c r="AG691" s="81"/>
      <c r="AH691" s="81"/>
      <c r="AI691" s="81" t="s">
        <v>2354</v>
      </c>
      <c r="AJ691" s="88">
        <v>39744.6987037037</v>
      </c>
      <c r="AK691" s="86" t="str">
        <f>HYPERLINK("https://yt3.ggpht.com/ytc/AIf8zZRpB8sPTSfUyi2PM7FVaevgRrcufPL7v6w4tknjoZ0=s88-c-k-c0x00ffffff-no-rj")</f>
        <v>https://yt3.ggpht.com/ytc/AIf8zZRpB8sPTSfUyi2PM7FVaevgRrcufPL7v6w4tknjoZ0=s88-c-k-c0x00ffffff-no-rj</v>
      </c>
      <c r="AL691" s="81">
        <v>0</v>
      </c>
      <c r="AM691" s="81">
        <v>0</v>
      </c>
      <c r="AN691" s="81">
        <v>1</v>
      </c>
      <c r="AO691" s="81" t="b">
        <v>0</v>
      </c>
      <c r="AP691" s="81">
        <v>0</v>
      </c>
      <c r="AQ691" s="81"/>
      <c r="AR691" s="81"/>
      <c r="AS691" s="81" t="s">
        <v>3378</v>
      </c>
      <c r="AT691" s="86" t="str">
        <f>HYPERLINK("https://www.youtube.com/channel/UCkqlHZqGFGej9GHiUKLLhXw")</f>
        <v>https://www.youtube.com/channel/UCkqlHZqGFGej9GHiUKLLhXw</v>
      </c>
      <c r="AU691" s="81" t="str">
        <f>REPLACE(INDEX(GroupVertices[Group],MATCH("~"&amp;Vertices[[#This Row],[Vertex]],GroupVertices[Vertex],0)),1,1,"")</f>
        <v>1</v>
      </c>
      <c r="AV691" s="49"/>
      <c r="AW691" s="49"/>
      <c r="AX691" s="49"/>
      <c r="AY691" s="49"/>
      <c r="AZ691" s="49"/>
      <c r="BA691" s="49"/>
      <c r="BB691" s="117" t="s">
        <v>4347</v>
      </c>
      <c r="BC691" s="117" t="s">
        <v>4347</v>
      </c>
      <c r="BD691" s="117" t="s">
        <v>2423</v>
      </c>
      <c r="BE691" s="117" t="s">
        <v>2423</v>
      </c>
      <c r="BF691" s="2"/>
      <c r="BG691" s="3"/>
      <c r="BH691" s="3"/>
      <c r="BI691" s="3"/>
      <c r="BJ691" s="3"/>
    </row>
    <row r="692" spans="1:62" ht="15">
      <c r="A692" s="66" t="s">
        <v>889</v>
      </c>
      <c r="B692" s="67"/>
      <c r="C692" s="67"/>
      <c r="D692" s="68">
        <v>50</v>
      </c>
      <c r="E692" s="70"/>
      <c r="F692" s="105" t="str">
        <f>HYPERLINK("https://yt3.ggpht.com/mVCaA6JVe8_KjJQ0OLDPvYzaRagoSTCWYkxmQuMWLmOaxiXbwfTUW6gBDHBP46mHxB5O1-10rw=s88-c-k-c0x00ffffff-no-rj")</f>
        <v>https://yt3.ggpht.com/mVCaA6JVe8_KjJQ0OLDPvYzaRagoSTCWYkxmQuMWLmOaxiXbwfTUW6gBDHBP46mHxB5O1-10rw=s88-c-k-c0x00ffffff-no-rj</v>
      </c>
      <c r="G692" s="67"/>
      <c r="H692" s="71" t="s">
        <v>3121</v>
      </c>
      <c r="I692" s="72"/>
      <c r="J692" s="72" t="s">
        <v>159</v>
      </c>
      <c r="K692" s="71" t="s">
        <v>3121</v>
      </c>
      <c r="L692" s="75">
        <v>1</v>
      </c>
      <c r="M692" s="76">
        <v>2699.41357421875</v>
      </c>
      <c r="N692" s="76">
        <v>8256.068359375</v>
      </c>
      <c r="O692" s="77"/>
      <c r="P692" s="78"/>
      <c r="Q692" s="78"/>
      <c r="R692" s="90"/>
      <c r="S692" s="49">
        <v>0</v>
      </c>
      <c r="T692" s="49">
        <v>1</v>
      </c>
      <c r="U692" s="50">
        <v>0</v>
      </c>
      <c r="V692" s="50">
        <v>0.231785</v>
      </c>
      <c r="W692" s="51"/>
      <c r="X692" s="51"/>
      <c r="Y692" s="51"/>
      <c r="Z692" s="50"/>
      <c r="AA692" s="73">
        <v>692</v>
      </c>
      <c r="AB692" s="73"/>
      <c r="AC692" s="74"/>
      <c r="AD692" s="81" t="s">
        <v>3121</v>
      </c>
      <c r="AE692" s="81"/>
      <c r="AF692" s="81"/>
      <c r="AG692" s="81"/>
      <c r="AH692" s="81"/>
      <c r="AI692" s="81" t="s">
        <v>2355</v>
      </c>
      <c r="AJ692" s="88">
        <v>44864.88023148148</v>
      </c>
      <c r="AK692" s="86" t="str">
        <f>HYPERLINK("https://yt3.ggpht.com/mVCaA6JVe8_KjJQ0OLDPvYzaRagoSTCWYkxmQuMWLmOaxiXbwfTUW6gBDHBP46mHxB5O1-10rw=s88-c-k-c0x00ffffff-no-rj")</f>
        <v>https://yt3.ggpht.com/mVCaA6JVe8_KjJQ0OLDPvYzaRagoSTCWYkxmQuMWLmOaxiXbwfTUW6gBDHBP46mHxB5O1-10rw=s88-c-k-c0x00ffffff-no-rj</v>
      </c>
      <c r="AL692" s="81">
        <v>0</v>
      </c>
      <c r="AM692" s="81">
        <v>0</v>
      </c>
      <c r="AN692" s="81">
        <v>0</v>
      </c>
      <c r="AO692" s="81" t="b">
        <v>0</v>
      </c>
      <c r="AP692" s="81">
        <v>0</v>
      </c>
      <c r="AQ692" s="81"/>
      <c r="AR692" s="81"/>
      <c r="AS692" s="81" t="s">
        <v>3378</v>
      </c>
      <c r="AT692" s="86" t="str">
        <f>HYPERLINK("https://www.youtube.com/channel/UCbNWVsmivqNlYDfX-ETlNPw")</f>
        <v>https://www.youtube.com/channel/UCbNWVsmivqNlYDfX-ETlNPw</v>
      </c>
      <c r="AU692" s="81" t="str">
        <f>REPLACE(INDEX(GroupVertices[Group],MATCH("~"&amp;Vertices[[#This Row],[Vertex]],GroupVertices[Vertex],0)),1,1,"")</f>
        <v>1</v>
      </c>
      <c r="AV692" s="49"/>
      <c r="AW692" s="49"/>
      <c r="AX692" s="49"/>
      <c r="AY692" s="49"/>
      <c r="AZ692" s="49"/>
      <c r="BA692" s="49"/>
      <c r="BB692" s="117" t="s">
        <v>4348</v>
      </c>
      <c r="BC692" s="117" t="s">
        <v>4348</v>
      </c>
      <c r="BD692" s="117" t="s">
        <v>5028</v>
      </c>
      <c r="BE692" s="117" t="s">
        <v>5028</v>
      </c>
      <c r="BF692" s="2"/>
      <c r="BG692" s="3"/>
      <c r="BH692" s="3"/>
      <c r="BI692" s="3"/>
      <c r="BJ692" s="3"/>
    </row>
    <row r="693" spans="1:62" ht="15">
      <c r="A693" s="66" t="s">
        <v>890</v>
      </c>
      <c r="B693" s="67"/>
      <c r="C693" s="67"/>
      <c r="D693" s="68">
        <v>50</v>
      </c>
      <c r="E693" s="70"/>
      <c r="F693" s="105" t="str">
        <f>HYPERLINK("https://yt3.ggpht.com/ytc/AIf8zZRH3kuehlVKk9sTldz6jFiYsEotAhEy1Io3BoESKV_JIZ9HPmXjr0o7cRKP5Wt-=s88-c-k-c0x00ffffff-no-rj")</f>
        <v>https://yt3.ggpht.com/ytc/AIf8zZRH3kuehlVKk9sTldz6jFiYsEotAhEy1Io3BoESKV_JIZ9HPmXjr0o7cRKP5Wt-=s88-c-k-c0x00ffffff-no-rj</v>
      </c>
      <c r="G693" s="67"/>
      <c r="H693" s="71" t="s">
        <v>3122</v>
      </c>
      <c r="I693" s="72"/>
      <c r="J693" s="72" t="s">
        <v>159</v>
      </c>
      <c r="K693" s="71" t="s">
        <v>3122</v>
      </c>
      <c r="L693" s="75">
        <v>1</v>
      </c>
      <c r="M693" s="76">
        <v>3190.1630859375</v>
      </c>
      <c r="N693" s="76">
        <v>7427.876953125</v>
      </c>
      <c r="O693" s="77"/>
      <c r="P693" s="78"/>
      <c r="Q693" s="78"/>
      <c r="R693" s="90"/>
      <c r="S693" s="49">
        <v>0</v>
      </c>
      <c r="T693" s="49">
        <v>1</v>
      </c>
      <c r="U693" s="50">
        <v>0</v>
      </c>
      <c r="V693" s="50">
        <v>0.231785</v>
      </c>
      <c r="W693" s="51"/>
      <c r="X693" s="51"/>
      <c r="Y693" s="51"/>
      <c r="Z693" s="50"/>
      <c r="AA693" s="73">
        <v>693</v>
      </c>
      <c r="AB693" s="73"/>
      <c r="AC693" s="74"/>
      <c r="AD693" s="81" t="s">
        <v>3122</v>
      </c>
      <c r="AE693" s="81"/>
      <c r="AF693" s="81"/>
      <c r="AG693" s="81"/>
      <c r="AH693" s="81"/>
      <c r="AI693" s="81" t="s">
        <v>2356</v>
      </c>
      <c r="AJ693" s="88">
        <v>40833.03563657407</v>
      </c>
      <c r="AK693" s="86" t="str">
        <f>HYPERLINK("https://yt3.ggpht.com/ytc/AIf8zZRH3kuehlVKk9sTldz6jFiYsEotAhEy1Io3BoESKV_JIZ9HPmXjr0o7cRKP5Wt-=s88-c-k-c0x00ffffff-no-rj")</f>
        <v>https://yt3.ggpht.com/ytc/AIf8zZRH3kuehlVKk9sTldz6jFiYsEotAhEy1Io3BoESKV_JIZ9HPmXjr0o7cRKP5Wt-=s88-c-k-c0x00ffffff-no-rj</v>
      </c>
      <c r="AL693" s="81">
        <v>0</v>
      </c>
      <c r="AM693" s="81">
        <v>0</v>
      </c>
      <c r="AN693" s="81">
        <v>0</v>
      </c>
      <c r="AO693" s="81" t="b">
        <v>0</v>
      </c>
      <c r="AP693" s="81">
        <v>0</v>
      </c>
      <c r="AQ693" s="81"/>
      <c r="AR693" s="81"/>
      <c r="AS693" s="81" t="s">
        <v>3378</v>
      </c>
      <c r="AT693" s="86" t="str">
        <f>HYPERLINK("https://www.youtube.com/channel/UCKTdTw7SXOQBXOx5jI614dQ")</f>
        <v>https://www.youtube.com/channel/UCKTdTw7SXOQBXOx5jI614dQ</v>
      </c>
      <c r="AU693" s="81" t="str">
        <f>REPLACE(INDEX(GroupVertices[Group],MATCH("~"&amp;Vertices[[#This Row],[Vertex]],GroupVertices[Vertex],0)),1,1,"")</f>
        <v>1</v>
      </c>
      <c r="AV693" s="49"/>
      <c r="AW693" s="49"/>
      <c r="AX693" s="49"/>
      <c r="AY693" s="49"/>
      <c r="AZ693" s="49"/>
      <c r="BA693" s="49"/>
      <c r="BB693" s="117" t="s">
        <v>2423</v>
      </c>
      <c r="BC693" s="117" t="s">
        <v>2423</v>
      </c>
      <c r="BD693" s="117" t="s">
        <v>2423</v>
      </c>
      <c r="BE693" s="117" t="s">
        <v>2423</v>
      </c>
      <c r="BF693" s="2"/>
      <c r="BG693" s="3"/>
      <c r="BH693" s="3"/>
      <c r="BI693" s="3"/>
      <c r="BJ693" s="3"/>
    </row>
    <row r="694" spans="1:62" ht="15">
      <c r="A694" s="66" t="s">
        <v>891</v>
      </c>
      <c r="B694" s="67"/>
      <c r="C694" s="67"/>
      <c r="D694" s="68">
        <v>50</v>
      </c>
      <c r="E694" s="70"/>
      <c r="F694" s="105" t="str">
        <f>HYPERLINK("https://yt3.ggpht.com/ytc/AIf8zZQe9fSnbMG5qZ25PCx_z-U-5dVyfGw08mpXHw=s88-c-k-c0x00ffffff-no-rj")</f>
        <v>https://yt3.ggpht.com/ytc/AIf8zZQe9fSnbMG5qZ25PCx_z-U-5dVyfGw08mpXHw=s88-c-k-c0x00ffffff-no-rj</v>
      </c>
      <c r="G694" s="67"/>
      <c r="H694" s="71" t="s">
        <v>3123</v>
      </c>
      <c r="I694" s="72"/>
      <c r="J694" s="72" t="s">
        <v>159</v>
      </c>
      <c r="K694" s="71" t="s">
        <v>3123</v>
      </c>
      <c r="L694" s="75">
        <v>1</v>
      </c>
      <c r="M694" s="76">
        <v>254.62437438964844</v>
      </c>
      <c r="N694" s="76">
        <v>5960.2587890625</v>
      </c>
      <c r="O694" s="77"/>
      <c r="P694" s="78"/>
      <c r="Q694" s="78"/>
      <c r="R694" s="90"/>
      <c r="S694" s="49">
        <v>0</v>
      </c>
      <c r="T694" s="49">
        <v>1</v>
      </c>
      <c r="U694" s="50">
        <v>0</v>
      </c>
      <c r="V694" s="50">
        <v>0.231785</v>
      </c>
      <c r="W694" s="51"/>
      <c r="X694" s="51"/>
      <c r="Y694" s="51"/>
      <c r="Z694" s="50"/>
      <c r="AA694" s="73">
        <v>694</v>
      </c>
      <c r="AB694" s="73"/>
      <c r="AC694" s="74"/>
      <c r="AD694" s="81" t="s">
        <v>3123</v>
      </c>
      <c r="AE694" s="81"/>
      <c r="AF694" s="81"/>
      <c r="AG694" s="81"/>
      <c r="AH694" s="81"/>
      <c r="AI694" s="81" t="s">
        <v>2357</v>
      </c>
      <c r="AJ694" s="88">
        <v>41971.01059027778</v>
      </c>
      <c r="AK694" s="86" t="str">
        <f>HYPERLINK("https://yt3.ggpht.com/ytc/AIf8zZQe9fSnbMG5qZ25PCx_z-U-5dVyfGw08mpXHw=s88-c-k-c0x00ffffff-no-rj")</f>
        <v>https://yt3.ggpht.com/ytc/AIf8zZQe9fSnbMG5qZ25PCx_z-U-5dVyfGw08mpXHw=s88-c-k-c0x00ffffff-no-rj</v>
      </c>
      <c r="AL694" s="81">
        <v>0</v>
      </c>
      <c r="AM694" s="81">
        <v>0</v>
      </c>
      <c r="AN694" s="81">
        <v>0</v>
      </c>
      <c r="AO694" s="81" t="b">
        <v>0</v>
      </c>
      <c r="AP694" s="81">
        <v>0</v>
      </c>
      <c r="AQ694" s="81"/>
      <c r="AR694" s="81"/>
      <c r="AS694" s="81" t="s">
        <v>3378</v>
      </c>
      <c r="AT694" s="86" t="str">
        <f>HYPERLINK("https://www.youtube.com/channel/UCME6PGnwyMRmV8iS_e1M2xA")</f>
        <v>https://www.youtube.com/channel/UCME6PGnwyMRmV8iS_e1M2xA</v>
      </c>
      <c r="AU694" s="81" t="str">
        <f>REPLACE(INDEX(GroupVertices[Group],MATCH("~"&amp;Vertices[[#This Row],[Vertex]],GroupVertices[Vertex],0)),1,1,"")</f>
        <v>1</v>
      </c>
      <c r="AV694" s="49"/>
      <c r="AW694" s="49"/>
      <c r="AX694" s="49"/>
      <c r="AY694" s="49"/>
      <c r="AZ694" s="49"/>
      <c r="BA694" s="49"/>
      <c r="BB694" s="117" t="s">
        <v>4349</v>
      </c>
      <c r="BC694" s="117" t="s">
        <v>4349</v>
      </c>
      <c r="BD694" s="117" t="s">
        <v>5029</v>
      </c>
      <c r="BE694" s="117" t="s">
        <v>5029</v>
      </c>
      <c r="BF694" s="2"/>
      <c r="BG694" s="3"/>
      <c r="BH694" s="3"/>
      <c r="BI694" s="3"/>
      <c r="BJ694" s="3"/>
    </row>
    <row r="695" spans="1:62" ht="15">
      <c r="A695" s="66" t="s">
        <v>892</v>
      </c>
      <c r="B695" s="67"/>
      <c r="C695" s="67"/>
      <c r="D695" s="68">
        <v>50</v>
      </c>
      <c r="E695" s="70"/>
      <c r="F695" s="105" t="str">
        <f>HYPERLINK("https://yt3.ggpht.com/Xnj7ZAadnxEvJY-VUo1GooyRGGLKBGaEuap-N_zewUecD5mxiuqACIXE5EyzG0lS4D_NCaFA5nk=s88-c-k-c0x00ffffff-no-rj")</f>
        <v>https://yt3.ggpht.com/Xnj7ZAadnxEvJY-VUo1GooyRGGLKBGaEuap-N_zewUecD5mxiuqACIXE5EyzG0lS4D_NCaFA5nk=s88-c-k-c0x00ffffff-no-rj</v>
      </c>
      <c r="G695" s="67"/>
      <c r="H695" s="71" t="s">
        <v>3124</v>
      </c>
      <c r="I695" s="72"/>
      <c r="J695" s="72" t="s">
        <v>159</v>
      </c>
      <c r="K695" s="71" t="s">
        <v>3124</v>
      </c>
      <c r="L695" s="75">
        <v>1</v>
      </c>
      <c r="M695" s="76">
        <v>960.6431884765625</v>
      </c>
      <c r="N695" s="76">
        <v>6567.78271484375</v>
      </c>
      <c r="O695" s="77"/>
      <c r="P695" s="78"/>
      <c r="Q695" s="78"/>
      <c r="R695" s="90"/>
      <c r="S695" s="49">
        <v>0</v>
      </c>
      <c r="T695" s="49">
        <v>1</v>
      </c>
      <c r="U695" s="50">
        <v>0</v>
      </c>
      <c r="V695" s="50">
        <v>0.231785</v>
      </c>
      <c r="W695" s="51"/>
      <c r="X695" s="51"/>
      <c r="Y695" s="51"/>
      <c r="Z695" s="50"/>
      <c r="AA695" s="73">
        <v>695</v>
      </c>
      <c r="AB695" s="73"/>
      <c r="AC695" s="74"/>
      <c r="AD695" s="81" t="s">
        <v>3124</v>
      </c>
      <c r="AE695" s="81"/>
      <c r="AF695" s="81"/>
      <c r="AG695" s="81"/>
      <c r="AH695" s="81"/>
      <c r="AI695" s="81" t="s">
        <v>2358</v>
      </c>
      <c r="AJ695" s="88">
        <v>39600.811377314814</v>
      </c>
      <c r="AK695" s="86" t="str">
        <f>HYPERLINK("https://yt3.ggpht.com/Xnj7ZAadnxEvJY-VUo1GooyRGGLKBGaEuap-N_zewUecD5mxiuqACIXE5EyzG0lS4D_NCaFA5nk=s88-c-k-c0x00ffffff-no-rj")</f>
        <v>https://yt3.ggpht.com/Xnj7ZAadnxEvJY-VUo1GooyRGGLKBGaEuap-N_zewUecD5mxiuqACIXE5EyzG0lS4D_NCaFA5nk=s88-c-k-c0x00ffffff-no-rj</v>
      </c>
      <c r="AL695" s="81">
        <v>0</v>
      </c>
      <c r="AM695" s="81">
        <v>0</v>
      </c>
      <c r="AN695" s="81">
        <v>15</v>
      </c>
      <c r="AO695" s="81" t="b">
        <v>0</v>
      </c>
      <c r="AP695" s="81">
        <v>0</v>
      </c>
      <c r="AQ695" s="81"/>
      <c r="AR695" s="81"/>
      <c r="AS695" s="81" t="s">
        <v>3378</v>
      </c>
      <c r="AT695" s="86" t="str">
        <f>HYPERLINK("https://www.youtube.com/channel/UCCpCCi9vvNf1qBtHqoJs0vQ")</f>
        <v>https://www.youtube.com/channel/UCCpCCi9vvNf1qBtHqoJs0vQ</v>
      </c>
      <c r="AU695" s="81" t="str">
        <f>REPLACE(INDEX(GroupVertices[Group],MATCH("~"&amp;Vertices[[#This Row],[Vertex]],GroupVertices[Vertex],0)),1,1,"")</f>
        <v>1</v>
      </c>
      <c r="AV695" s="49"/>
      <c r="AW695" s="49"/>
      <c r="AX695" s="49"/>
      <c r="AY695" s="49"/>
      <c r="AZ695" s="49"/>
      <c r="BA695" s="49"/>
      <c r="BB695" s="117" t="s">
        <v>4350</v>
      </c>
      <c r="BC695" s="117" t="s">
        <v>4350</v>
      </c>
      <c r="BD695" s="117" t="s">
        <v>5030</v>
      </c>
      <c r="BE695" s="117" t="s">
        <v>5030</v>
      </c>
      <c r="BF695" s="2"/>
      <c r="BG695" s="3"/>
      <c r="BH695" s="3"/>
      <c r="BI695" s="3"/>
      <c r="BJ695" s="3"/>
    </row>
    <row r="696" spans="1:62" ht="15">
      <c r="A696" s="66" t="s">
        <v>893</v>
      </c>
      <c r="B696" s="67"/>
      <c r="C696" s="67"/>
      <c r="D696" s="68">
        <v>50</v>
      </c>
      <c r="E696" s="70"/>
      <c r="F696" s="105" t="str">
        <f>HYPERLINK("https://yt3.ggpht.com/ytc/AIf8zZSuWJWGjvlYd2ym7Y4Q2XCiF3b-YI1kOQBjmLl7CmuxF8yTwrlOzgNGV0itW46e=s88-c-k-c0x00ffffff-no-rj")</f>
        <v>https://yt3.ggpht.com/ytc/AIf8zZSuWJWGjvlYd2ym7Y4Q2XCiF3b-YI1kOQBjmLl7CmuxF8yTwrlOzgNGV0itW46e=s88-c-k-c0x00ffffff-no-rj</v>
      </c>
      <c r="G696" s="67"/>
      <c r="H696" s="71" t="s">
        <v>3125</v>
      </c>
      <c r="I696" s="72"/>
      <c r="J696" s="72" t="s">
        <v>159</v>
      </c>
      <c r="K696" s="71" t="s">
        <v>3125</v>
      </c>
      <c r="L696" s="75">
        <v>1</v>
      </c>
      <c r="M696" s="76">
        <v>699.407470703125</v>
      </c>
      <c r="N696" s="76">
        <v>7955.708984375</v>
      </c>
      <c r="O696" s="77"/>
      <c r="P696" s="78"/>
      <c r="Q696" s="78"/>
      <c r="R696" s="90"/>
      <c r="S696" s="49">
        <v>0</v>
      </c>
      <c r="T696" s="49">
        <v>1</v>
      </c>
      <c r="U696" s="50">
        <v>0</v>
      </c>
      <c r="V696" s="50">
        <v>0.231785</v>
      </c>
      <c r="W696" s="51"/>
      <c r="X696" s="51"/>
      <c r="Y696" s="51"/>
      <c r="Z696" s="50"/>
      <c r="AA696" s="73">
        <v>696</v>
      </c>
      <c r="AB696" s="73"/>
      <c r="AC696" s="74"/>
      <c r="AD696" s="81" t="s">
        <v>3125</v>
      </c>
      <c r="AE696" s="81"/>
      <c r="AF696" s="81"/>
      <c r="AG696" s="81"/>
      <c r="AH696" s="81"/>
      <c r="AI696" s="81" t="s">
        <v>2359</v>
      </c>
      <c r="AJ696" s="88">
        <v>38984.9218287037</v>
      </c>
      <c r="AK696" s="86" t="str">
        <f>HYPERLINK("https://yt3.ggpht.com/ytc/AIf8zZSuWJWGjvlYd2ym7Y4Q2XCiF3b-YI1kOQBjmLl7CmuxF8yTwrlOzgNGV0itW46e=s88-c-k-c0x00ffffff-no-rj")</f>
        <v>https://yt3.ggpht.com/ytc/AIf8zZSuWJWGjvlYd2ym7Y4Q2XCiF3b-YI1kOQBjmLl7CmuxF8yTwrlOzgNGV0itW46e=s88-c-k-c0x00ffffff-no-rj</v>
      </c>
      <c r="AL696" s="81">
        <v>0</v>
      </c>
      <c r="AM696" s="81">
        <v>0</v>
      </c>
      <c r="AN696" s="81">
        <v>0</v>
      </c>
      <c r="AO696" s="81" t="b">
        <v>0</v>
      </c>
      <c r="AP696" s="81">
        <v>0</v>
      </c>
      <c r="AQ696" s="81"/>
      <c r="AR696" s="81"/>
      <c r="AS696" s="81" t="s">
        <v>3378</v>
      </c>
      <c r="AT696" s="86" t="str">
        <f>HYPERLINK("https://www.youtube.com/channel/UCXagPx6_DhXPr88XQ7s0HCg")</f>
        <v>https://www.youtube.com/channel/UCXagPx6_DhXPr88XQ7s0HCg</v>
      </c>
      <c r="AU696" s="81" t="str">
        <f>REPLACE(INDEX(GroupVertices[Group],MATCH("~"&amp;Vertices[[#This Row],[Vertex]],GroupVertices[Vertex],0)),1,1,"")</f>
        <v>1</v>
      </c>
      <c r="AV696" s="49"/>
      <c r="AW696" s="49"/>
      <c r="AX696" s="49"/>
      <c r="AY696" s="49"/>
      <c r="AZ696" s="49"/>
      <c r="BA696" s="49"/>
      <c r="BB696" s="117" t="s">
        <v>4351</v>
      </c>
      <c r="BC696" s="117" t="s">
        <v>4351</v>
      </c>
      <c r="BD696" s="117" t="s">
        <v>5031</v>
      </c>
      <c r="BE696" s="117" t="s">
        <v>5031</v>
      </c>
      <c r="BF696" s="2"/>
      <c r="BG696" s="3"/>
      <c r="BH696" s="3"/>
      <c r="BI696" s="3"/>
      <c r="BJ696" s="3"/>
    </row>
    <row r="697" spans="1:62" ht="15">
      <c r="A697" s="66" t="s">
        <v>894</v>
      </c>
      <c r="B697" s="67"/>
      <c r="C697" s="67"/>
      <c r="D697" s="68">
        <v>50</v>
      </c>
      <c r="E697" s="70"/>
      <c r="F697" s="105" t="str">
        <f>HYPERLINK("https://yt3.ggpht.com/ytc/AIf8zZR_WfKEtBm2ZhBOYJ6jYJVjrkqs5Z5CDDE3DQ=s88-c-k-c0x00ffffff-no-rj")</f>
        <v>https://yt3.ggpht.com/ytc/AIf8zZR_WfKEtBm2ZhBOYJ6jYJVjrkqs5Z5CDDE3DQ=s88-c-k-c0x00ffffff-no-rj</v>
      </c>
      <c r="G697" s="67"/>
      <c r="H697" s="71" t="s">
        <v>3126</v>
      </c>
      <c r="I697" s="72"/>
      <c r="J697" s="72" t="s">
        <v>159</v>
      </c>
      <c r="K697" s="71" t="s">
        <v>3126</v>
      </c>
      <c r="L697" s="75">
        <v>1</v>
      </c>
      <c r="M697" s="76">
        <v>3573.71728515625</v>
      </c>
      <c r="N697" s="76">
        <v>7817.52099609375</v>
      </c>
      <c r="O697" s="77"/>
      <c r="P697" s="78"/>
      <c r="Q697" s="78"/>
      <c r="R697" s="90"/>
      <c r="S697" s="49">
        <v>0</v>
      </c>
      <c r="T697" s="49">
        <v>1</v>
      </c>
      <c r="U697" s="50">
        <v>0</v>
      </c>
      <c r="V697" s="50">
        <v>0.231785</v>
      </c>
      <c r="W697" s="51"/>
      <c r="X697" s="51"/>
      <c r="Y697" s="51"/>
      <c r="Z697" s="50"/>
      <c r="AA697" s="73">
        <v>697</v>
      </c>
      <c r="AB697" s="73"/>
      <c r="AC697" s="74"/>
      <c r="AD697" s="81" t="s">
        <v>3126</v>
      </c>
      <c r="AE697" s="81"/>
      <c r="AF697" s="81"/>
      <c r="AG697" s="81"/>
      <c r="AH697" s="81"/>
      <c r="AI697" s="81" t="s">
        <v>3376</v>
      </c>
      <c r="AJ697" s="88">
        <v>40601.11859953704</v>
      </c>
      <c r="AK697" s="86" t="str">
        <f>HYPERLINK("https://yt3.ggpht.com/ytc/AIf8zZR_WfKEtBm2ZhBOYJ6jYJVjrkqs5Z5CDDE3DQ=s88-c-k-c0x00ffffff-no-rj")</f>
        <v>https://yt3.ggpht.com/ytc/AIf8zZR_WfKEtBm2ZhBOYJ6jYJVjrkqs5Z5CDDE3DQ=s88-c-k-c0x00ffffff-no-rj</v>
      </c>
      <c r="AL697" s="81">
        <v>0</v>
      </c>
      <c r="AM697" s="81">
        <v>0</v>
      </c>
      <c r="AN697" s="81">
        <v>0</v>
      </c>
      <c r="AO697" s="81" t="b">
        <v>0</v>
      </c>
      <c r="AP697" s="81">
        <v>0</v>
      </c>
      <c r="AQ697" s="81"/>
      <c r="AR697" s="81"/>
      <c r="AS697" s="81" t="s">
        <v>3378</v>
      </c>
      <c r="AT697" s="86" t="str">
        <f>HYPERLINK("https://www.youtube.com/channel/UC6fNBA3mQFpqSFzPUkIfLXQ")</f>
        <v>https://www.youtube.com/channel/UC6fNBA3mQFpqSFzPUkIfLXQ</v>
      </c>
      <c r="AU697" s="81" t="str">
        <f>REPLACE(INDEX(GroupVertices[Group],MATCH("~"&amp;Vertices[[#This Row],[Vertex]],GroupVertices[Vertex],0)),1,1,"")</f>
        <v>1</v>
      </c>
      <c r="AV697" s="49"/>
      <c r="AW697" s="49"/>
      <c r="AX697" s="49"/>
      <c r="AY697" s="49"/>
      <c r="AZ697" s="49"/>
      <c r="BA697" s="49"/>
      <c r="BB697" s="117" t="s">
        <v>4352</v>
      </c>
      <c r="BC697" s="117" t="s">
        <v>4352</v>
      </c>
      <c r="BD697" s="117" t="s">
        <v>5032</v>
      </c>
      <c r="BE697" s="117" t="s">
        <v>5032</v>
      </c>
      <c r="BF697" s="2"/>
      <c r="BG697" s="3"/>
      <c r="BH697" s="3"/>
      <c r="BI697" s="3"/>
      <c r="BJ697" s="3"/>
    </row>
    <row r="698" spans="1:62" ht="15">
      <c r="A698" s="66" t="s">
        <v>895</v>
      </c>
      <c r="B698" s="67"/>
      <c r="C698" s="67"/>
      <c r="D698" s="68">
        <v>50</v>
      </c>
      <c r="E698" s="70"/>
      <c r="F698" s="105" t="str">
        <f>HYPERLINK("https://yt3.ggpht.com/ytc/AIf8zZTeOOu-1yRGDIVmhjbqk7mOe9DXU2fo_AoGww=s88-c-k-c0x00ffffff-no-rj")</f>
        <v>https://yt3.ggpht.com/ytc/AIf8zZTeOOu-1yRGDIVmhjbqk7mOe9DXU2fo_AoGww=s88-c-k-c0x00ffffff-no-rj</v>
      </c>
      <c r="G698" s="67"/>
      <c r="H698" s="71" t="s">
        <v>3127</v>
      </c>
      <c r="I698" s="72"/>
      <c r="J698" s="72" t="s">
        <v>159</v>
      </c>
      <c r="K698" s="71" t="s">
        <v>3127</v>
      </c>
      <c r="L698" s="75">
        <v>1</v>
      </c>
      <c r="M698" s="76">
        <v>799.3485107421875</v>
      </c>
      <c r="N698" s="76">
        <v>7219.5361328125</v>
      </c>
      <c r="O698" s="77"/>
      <c r="P698" s="78"/>
      <c r="Q698" s="78"/>
      <c r="R698" s="90"/>
      <c r="S698" s="49">
        <v>0</v>
      </c>
      <c r="T698" s="49">
        <v>1</v>
      </c>
      <c r="U698" s="50">
        <v>0</v>
      </c>
      <c r="V698" s="50">
        <v>0.231785</v>
      </c>
      <c r="W698" s="51"/>
      <c r="X698" s="51"/>
      <c r="Y698" s="51"/>
      <c r="Z698" s="50"/>
      <c r="AA698" s="73">
        <v>698</v>
      </c>
      <c r="AB698" s="73"/>
      <c r="AC698" s="74"/>
      <c r="AD698" s="81" t="s">
        <v>3127</v>
      </c>
      <c r="AE698" s="81"/>
      <c r="AF698" s="81"/>
      <c r="AG698" s="81"/>
      <c r="AH698" s="81"/>
      <c r="AI698" s="81" t="s">
        <v>2361</v>
      </c>
      <c r="AJ698" s="88">
        <v>41120.05394675926</v>
      </c>
      <c r="AK698" s="86" t="str">
        <f>HYPERLINK("https://yt3.ggpht.com/ytc/AIf8zZTeOOu-1yRGDIVmhjbqk7mOe9DXU2fo_AoGww=s88-c-k-c0x00ffffff-no-rj")</f>
        <v>https://yt3.ggpht.com/ytc/AIf8zZTeOOu-1yRGDIVmhjbqk7mOe9DXU2fo_AoGww=s88-c-k-c0x00ffffff-no-rj</v>
      </c>
      <c r="AL698" s="81">
        <v>0</v>
      </c>
      <c r="AM698" s="81">
        <v>0</v>
      </c>
      <c r="AN698" s="81">
        <v>0</v>
      </c>
      <c r="AO698" s="81" t="b">
        <v>0</v>
      </c>
      <c r="AP698" s="81">
        <v>0</v>
      </c>
      <c r="AQ698" s="81"/>
      <c r="AR698" s="81"/>
      <c r="AS698" s="81" t="s">
        <v>3378</v>
      </c>
      <c r="AT698" s="86" t="str">
        <f>HYPERLINK("https://www.youtube.com/channel/UCU6PjgmvCNewxOvr7p7MsVQ")</f>
        <v>https://www.youtube.com/channel/UCU6PjgmvCNewxOvr7p7MsVQ</v>
      </c>
      <c r="AU698" s="81" t="str">
        <f>REPLACE(INDEX(GroupVertices[Group],MATCH("~"&amp;Vertices[[#This Row],[Vertex]],GroupVertices[Vertex],0)),1,1,"")</f>
        <v>1</v>
      </c>
      <c r="AV698" s="49"/>
      <c r="AW698" s="49"/>
      <c r="AX698" s="49"/>
      <c r="AY698" s="49"/>
      <c r="AZ698" s="49"/>
      <c r="BA698" s="49"/>
      <c r="BB698" s="117" t="s">
        <v>4353</v>
      </c>
      <c r="BC698" s="117" t="s">
        <v>4353</v>
      </c>
      <c r="BD698" s="117" t="s">
        <v>5033</v>
      </c>
      <c r="BE698" s="117" t="s">
        <v>5033</v>
      </c>
      <c r="BF698" s="2"/>
      <c r="BG698" s="3"/>
      <c r="BH698" s="3"/>
      <c r="BI698" s="3"/>
      <c r="BJ698" s="3"/>
    </row>
    <row r="699" spans="1:62" ht="15">
      <c r="A699" s="66" t="s">
        <v>896</v>
      </c>
      <c r="B699" s="67"/>
      <c r="C699" s="67"/>
      <c r="D699" s="68">
        <v>50</v>
      </c>
      <c r="E699" s="70"/>
      <c r="F699" s="105" t="str">
        <f>HYPERLINK("https://yt3.ggpht.com/ytc/AIf8zZRXMdbOD_BRfnzDpM2hl9g1G7bDIsOYubPozw=s88-c-k-c0x00ffffff-no-rj")</f>
        <v>https://yt3.ggpht.com/ytc/AIf8zZRXMdbOD_BRfnzDpM2hl9g1G7bDIsOYubPozw=s88-c-k-c0x00ffffff-no-rj</v>
      </c>
      <c r="G699" s="67"/>
      <c r="H699" s="71" t="s">
        <v>3128</v>
      </c>
      <c r="I699" s="72"/>
      <c r="J699" s="72" t="s">
        <v>159</v>
      </c>
      <c r="K699" s="71" t="s">
        <v>3128</v>
      </c>
      <c r="L699" s="75">
        <v>1</v>
      </c>
      <c r="M699" s="76">
        <v>191.9278106689453</v>
      </c>
      <c r="N699" s="76">
        <v>6508.11376953125</v>
      </c>
      <c r="O699" s="77"/>
      <c r="P699" s="78"/>
      <c r="Q699" s="78"/>
      <c r="R699" s="90"/>
      <c r="S699" s="49">
        <v>0</v>
      </c>
      <c r="T699" s="49">
        <v>1</v>
      </c>
      <c r="U699" s="50">
        <v>0</v>
      </c>
      <c r="V699" s="50">
        <v>0.231785</v>
      </c>
      <c r="W699" s="51"/>
      <c r="X699" s="51"/>
      <c r="Y699" s="51"/>
      <c r="Z699" s="50"/>
      <c r="AA699" s="73">
        <v>699</v>
      </c>
      <c r="AB699" s="73"/>
      <c r="AC699" s="74"/>
      <c r="AD699" s="81" t="s">
        <v>3128</v>
      </c>
      <c r="AE699" s="81"/>
      <c r="AF699" s="81"/>
      <c r="AG699" s="81"/>
      <c r="AH699" s="81"/>
      <c r="AI699" s="81" t="s">
        <v>2362</v>
      </c>
      <c r="AJ699" s="88">
        <v>44036.88586805556</v>
      </c>
      <c r="AK699" s="86" t="str">
        <f>HYPERLINK("https://yt3.ggpht.com/ytc/AIf8zZRXMdbOD_BRfnzDpM2hl9g1G7bDIsOYubPozw=s88-c-k-c0x00ffffff-no-rj")</f>
        <v>https://yt3.ggpht.com/ytc/AIf8zZRXMdbOD_BRfnzDpM2hl9g1G7bDIsOYubPozw=s88-c-k-c0x00ffffff-no-rj</v>
      </c>
      <c r="AL699" s="81">
        <v>0</v>
      </c>
      <c r="AM699" s="81">
        <v>0</v>
      </c>
      <c r="AN699" s="81">
        <v>0</v>
      </c>
      <c r="AO699" s="81" t="b">
        <v>0</v>
      </c>
      <c r="AP699" s="81">
        <v>0</v>
      </c>
      <c r="AQ699" s="81"/>
      <c r="AR699" s="81"/>
      <c r="AS699" s="81" t="s">
        <v>3378</v>
      </c>
      <c r="AT699" s="86" t="str">
        <f>HYPERLINK("https://www.youtube.com/channel/UCFIx14H8o7q9GrHMrNNLFhg")</f>
        <v>https://www.youtube.com/channel/UCFIx14H8o7q9GrHMrNNLFhg</v>
      </c>
      <c r="AU699" s="81" t="str">
        <f>REPLACE(INDEX(GroupVertices[Group],MATCH("~"&amp;Vertices[[#This Row],[Vertex]],GroupVertices[Vertex],0)),1,1,"")</f>
        <v>1</v>
      </c>
      <c r="AV699" s="49"/>
      <c r="AW699" s="49"/>
      <c r="AX699" s="49"/>
      <c r="AY699" s="49"/>
      <c r="AZ699" s="49"/>
      <c r="BA699" s="49"/>
      <c r="BB699" s="117" t="s">
        <v>4354</v>
      </c>
      <c r="BC699" s="117" t="s">
        <v>4354</v>
      </c>
      <c r="BD699" s="117" t="s">
        <v>5034</v>
      </c>
      <c r="BE699" s="117" t="s">
        <v>5034</v>
      </c>
      <c r="BF699" s="2"/>
      <c r="BG699" s="3"/>
      <c r="BH699" s="3"/>
      <c r="BI699" s="3"/>
      <c r="BJ699" s="3"/>
    </row>
    <row r="700" spans="1:62" ht="15">
      <c r="A700" s="91" t="s">
        <v>898</v>
      </c>
      <c r="B700" s="92"/>
      <c r="C700" s="92"/>
      <c r="D700" s="68">
        <v>50</v>
      </c>
      <c r="E700" s="93"/>
      <c r="F700" s="106" t="str">
        <f>HYPERLINK("https://yt3.ggpht.com/ytc/AIf8zZQa3-vVa0dBT-Ap0YjIcCiqmK_sYLW-Wt8yeMOZ=s88-c-k-c0x00ffffff-no-rj")</f>
        <v>https://yt3.ggpht.com/ytc/AIf8zZQa3-vVa0dBT-Ap0YjIcCiqmK_sYLW-Wt8yeMOZ=s88-c-k-c0x00ffffff-no-rj</v>
      </c>
      <c r="G700" s="92"/>
      <c r="H700" s="94" t="s">
        <v>3130</v>
      </c>
      <c r="I700" s="95"/>
      <c r="J700" s="95" t="s">
        <v>159</v>
      </c>
      <c r="K700" s="94" t="s">
        <v>3130</v>
      </c>
      <c r="L700" s="96">
        <v>1</v>
      </c>
      <c r="M700" s="97">
        <v>3075.466552734375</v>
      </c>
      <c r="N700" s="97">
        <v>5777.4736328125</v>
      </c>
      <c r="O700" s="98"/>
      <c r="P700" s="99"/>
      <c r="Q700" s="99"/>
      <c r="R700" s="100"/>
      <c r="S700" s="49">
        <v>0</v>
      </c>
      <c r="T700" s="49">
        <v>1</v>
      </c>
      <c r="U700" s="50">
        <v>0</v>
      </c>
      <c r="V700" s="50">
        <v>0.231785</v>
      </c>
      <c r="W700" s="101"/>
      <c r="X700" s="101"/>
      <c r="Y700" s="101"/>
      <c r="Z700" s="102"/>
      <c r="AA700" s="103">
        <v>700</v>
      </c>
      <c r="AB700" s="103"/>
      <c r="AC700" s="104"/>
      <c r="AD700" s="81" t="s">
        <v>3130</v>
      </c>
      <c r="AE700" s="81" t="s">
        <v>3226</v>
      </c>
      <c r="AF700" s="81"/>
      <c r="AG700" s="81"/>
      <c r="AH700" s="81"/>
      <c r="AI700" s="81" t="s">
        <v>2364</v>
      </c>
      <c r="AJ700" s="88">
        <v>39079.46549768518</v>
      </c>
      <c r="AK700" s="86" t="str">
        <f>HYPERLINK("https://yt3.ggpht.com/ytc/AIf8zZQa3-vVa0dBT-Ap0YjIcCiqmK_sYLW-Wt8yeMOZ=s88-c-k-c0x00ffffff-no-rj")</f>
        <v>https://yt3.ggpht.com/ytc/AIf8zZQa3-vVa0dBT-Ap0YjIcCiqmK_sYLW-Wt8yeMOZ=s88-c-k-c0x00ffffff-no-rj</v>
      </c>
      <c r="AL700" s="81">
        <v>102154</v>
      </c>
      <c r="AM700" s="81">
        <v>0</v>
      </c>
      <c r="AN700" s="81">
        <v>352</v>
      </c>
      <c r="AO700" s="81" t="b">
        <v>0</v>
      </c>
      <c r="AP700" s="81">
        <v>77</v>
      </c>
      <c r="AQ700" s="81"/>
      <c r="AR700" s="81"/>
      <c r="AS700" s="81" t="s">
        <v>3378</v>
      </c>
      <c r="AT700" s="86" t="str">
        <f>HYPERLINK("https://www.youtube.com/channel/UCs2q54e3wazWqkkL2-jhaAw")</f>
        <v>https://www.youtube.com/channel/UCs2q54e3wazWqkkL2-jhaAw</v>
      </c>
      <c r="AU700" s="81" t="str">
        <f>REPLACE(INDEX(GroupVertices[Group],MATCH("~"&amp;Vertices[[#This Row],[Vertex]],GroupVertices[Vertex],0)),1,1,"")</f>
        <v>1</v>
      </c>
      <c r="AV700" s="49"/>
      <c r="AW700" s="49"/>
      <c r="AX700" s="49"/>
      <c r="AY700" s="49"/>
      <c r="AZ700" s="49"/>
      <c r="BA700" s="49"/>
      <c r="BB700" s="117" t="s">
        <v>4356</v>
      </c>
      <c r="BC700" s="117" t="s">
        <v>4356</v>
      </c>
      <c r="BD700" s="117" t="s">
        <v>5036</v>
      </c>
      <c r="BE700" s="117" t="s">
        <v>5036</v>
      </c>
      <c r="BF700" s="2"/>
      <c r="BG700" s="3"/>
      <c r="BH700" s="3"/>
      <c r="BI700" s="3"/>
      <c r="BJ700" s="3"/>
    </row>
    <row r="701" spans="1:57" ht="15">
      <c r="A701" s="66"/>
      <c r="B701" s="67"/>
      <c r="C701" s="67"/>
      <c r="D701" s="68"/>
      <c r="E701" s="118"/>
      <c r="F701" s="67"/>
      <c r="G701" s="119"/>
      <c r="H701" s="71"/>
      <c r="I701" s="72"/>
      <c r="J701" s="120"/>
      <c r="K701" s="71"/>
      <c r="L701" s="121"/>
      <c r="M701" s="76"/>
      <c r="N701" s="76"/>
      <c r="O701" s="77"/>
      <c r="P701" s="78"/>
      <c r="Q701" s="78"/>
      <c r="R701" s="122"/>
      <c r="S701" s="123"/>
      <c r="T701" s="49"/>
      <c r="U701" s="124"/>
      <c r="V701" s="50"/>
      <c r="W701" s="125"/>
      <c r="X701" s="51"/>
      <c r="Y701" s="51"/>
      <c r="Z701" s="50"/>
      <c r="AA701" s="73">
        <v>701</v>
      </c>
      <c r="AB701" s="73"/>
      <c r="AC701" s="74"/>
      <c r="AD701" s="82"/>
      <c r="AE701" s="82"/>
      <c r="AF701" s="82"/>
      <c r="AG701" s="82"/>
      <c r="AH701" s="82"/>
      <c r="AI701" s="82"/>
      <c r="AJ701" s="82"/>
      <c r="AK701" s="82"/>
      <c r="AL701" s="82"/>
      <c r="AM701" s="82"/>
      <c r="AN701" s="82"/>
      <c r="AO701" s="82"/>
      <c r="AP701" s="82"/>
      <c r="AQ701" s="82"/>
      <c r="AR701" s="82"/>
      <c r="AS701" s="82"/>
      <c r="AT701" s="82"/>
      <c r="AU701" s="126" t="e">
        <f>REPLACE(INDEX(GroupVertices[Group],MATCH("~"&amp;Vertices[[#This Row],[Vertex]],GroupVertices[Vertex],0)),1,1,"")</f>
        <v>#N/A</v>
      </c>
      <c r="AV701" s="123"/>
      <c r="AW701" s="123"/>
      <c r="AX701" s="123"/>
      <c r="AY701" s="123"/>
      <c r="AZ701" s="123"/>
      <c r="BA701" s="123"/>
      <c r="BB701" s="123"/>
      <c r="BC701" s="123"/>
      <c r="BD701" s="123"/>
      <c r="BE701" s="49"/>
    </row>
    <row r="702" spans="1:57" ht="15">
      <c r="A702" s="66"/>
      <c r="B702" s="67"/>
      <c r="C702" s="67"/>
      <c r="D702" s="68"/>
      <c r="E702" s="118"/>
      <c r="F702" s="67"/>
      <c r="G702" s="119"/>
      <c r="H702" s="71"/>
      <c r="I702" s="72"/>
      <c r="J702" s="120"/>
      <c r="K702" s="71"/>
      <c r="L702" s="121"/>
      <c r="M702" s="76"/>
      <c r="N702" s="76"/>
      <c r="O702" s="77"/>
      <c r="P702" s="78"/>
      <c r="Q702" s="78"/>
      <c r="R702" s="122"/>
      <c r="S702" s="123"/>
      <c r="T702" s="49"/>
      <c r="U702" s="124"/>
      <c r="V702" s="50"/>
      <c r="W702" s="125"/>
      <c r="X702" s="51"/>
      <c r="Y702" s="51"/>
      <c r="Z702" s="50"/>
      <c r="AA702" s="73">
        <v>702</v>
      </c>
      <c r="AB702" s="73"/>
      <c r="AC702" s="74"/>
      <c r="AD702" s="82"/>
      <c r="AE702" s="82"/>
      <c r="AF702" s="82"/>
      <c r="AG702" s="82"/>
      <c r="AH702" s="82"/>
      <c r="AI702" s="82"/>
      <c r="AJ702" s="82"/>
      <c r="AK702" s="82"/>
      <c r="AL702" s="82"/>
      <c r="AM702" s="82"/>
      <c r="AN702" s="82"/>
      <c r="AO702" s="82"/>
      <c r="AP702" s="82"/>
      <c r="AQ702" s="82"/>
      <c r="AR702" s="82"/>
      <c r="AS702" s="82"/>
      <c r="AT702" s="82"/>
      <c r="AU702" s="126" t="e">
        <f>REPLACE(INDEX(GroupVertices[Group],MATCH("~"&amp;Vertices[[#This Row],[Vertex]],GroupVertices[Vertex],0)),1,1,"")</f>
        <v>#N/A</v>
      </c>
      <c r="AV702" s="123"/>
      <c r="AW702" s="123"/>
      <c r="AX702" s="123"/>
      <c r="AY702" s="123"/>
      <c r="AZ702" s="123"/>
      <c r="BA702" s="123"/>
      <c r="BB702" s="123"/>
      <c r="BC702" s="123"/>
      <c r="BD702" s="123"/>
      <c r="BE702"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2"/>
    <dataValidation allowBlank="1" errorTitle="Invalid Vertex Visibility" error="You have entered an unrecognized vertex visibility.  Try selecting from the drop-down list instead." sqref="BF3"/>
    <dataValidation allowBlank="1" showErrorMessage="1" sqref="B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2"/>
    <dataValidation allowBlank="1" showInputMessage="1" promptTitle="Vertex Tooltip" prompt="Enter optional text that will pop up when the mouse is hovered over the vertex." errorTitle="Invalid Vertex Image Key" sqref="K3:K7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23:H700"/>
    <dataValidation allowBlank="1" showInputMessage="1" promptTitle="Vertex Label Fill Color" prompt="To select an optional fill color for the Label shape, right-click and select Select Color on the right-click menu." sqref="I3:I702"/>
    <dataValidation allowBlank="1" showInputMessage="1" promptTitle="Vertex Image File" prompt="Enter the path to an image file.  Hover over the column header for examples." errorTitle="Invalid Vertex Image Key" sqref="F3:F702"/>
    <dataValidation allowBlank="1" showInputMessage="1" promptTitle="Vertex Color" prompt="To select an optional vertex color, right-click and select Select Color on the right-click menu." sqref="B3:B702"/>
    <dataValidation allowBlank="1" showInputMessage="1" promptTitle="Vertex Opacity" prompt="Enter an optional vertex opacity between 0 (transparent) and 100 (opaque)." errorTitle="Invalid Vertex Opacity" error="The optional vertex opacity must be a whole number between 0 and 10." sqref="E3:E702"/>
    <dataValidation type="list" allowBlank="1" showInputMessage="1" showErrorMessage="1" promptTitle="Vertex Shape" prompt="Select an optional vertex shape." errorTitle="Invalid Vertex Shape" error="You have entered an invalid vertex shape.  Try selecting from the drop-down list instead." sqref="C3:C7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2">
      <formula1>ValidVertexLabelPositions</formula1>
    </dataValidation>
    <dataValidation allowBlank="1" showInputMessage="1" showErrorMessage="1" promptTitle="Vertex Name" prompt="Enter the name of the vertex." sqref="A3:A702 H3:H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
  <sheetViews>
    <sheetView workbookViewId="0" topLeftCell="A1">
      <pane ySplit="2" topLeftCell="A3" activePane="bottomLeft" state="frozen"/>
      <selection pane="bottomLeft" activeCell="A2" sqref="A2:AC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customWidth="1"/>
    <col min="26" max="26" width="15.140625" style="0" customWidth="1"/>
    <col min="27" max="27" width="15.421875" style="0" customWidth="1"/>
    <col min="28" max="28" width="14.140625" style="0" customWidth="1"/>
    <col min="29" max="29" width="17.140625" style="0"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2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3514</v>
      </c>
      <c r="Z2" s="13" t="s">
        <v>3537</v>
      </c>
      <c r="AA2" s="13" t="s">
        <v>3551</v>
      </c>
      <c r="AB2" s="13" t="s">
        <v>3592</v>
      </c>
      <c r="AC2" s="13" t="s">
        <v>3655</v>
      </c>
    </row>
    <row r="3" spans="1:29" ht="15">
      <c r="A3" s="66" t="s">
        <v>3382</v>
      </c>
      <c r="B3" s="67" t="s">
        <v>3391</v>
      </c>
      <c r="C3" s="67" t="s">
        <v>56</v>
      </c>
      <c r="D3" s="108"/>
      <c r="E3" s="14"/>
      <c r="F3" s="15" t="s">
        <v>3404</v>
      </c>
      <c r="G3" s="65"/>
      <c r="H3" s="65"/>
      <c r="I3" s="109">
        <v>3</v>
      </c>
      <c r="J3" s="52"/>
      <c r="K3" s="49">
        <v>168</v>
      </c>
      <c r="L3" s="49">
        <v>152</v>
      </c>
      <c r="M3" s="49">
        <v>41</v>
      </c>
      <c r="N3" s="49">
        <v>193</v>
      </c>
      <c r="O3" s="49">
        <v>6</v>
      </c>
      <c r="P3" s="50">
        <v>0</v>
      </c>
      <c r="Q3" s="50">
        <v>0</v>
      </c>
      <c r="R3" s="49">
        <v>1</v>
      </c>
      <c r="S3" s="49">
        <v>0</v>
      </c>
      <c r="T3" s="49">
        <v>168</v>
      </c>
      <c r="U3" s="49">
        <v>193</v>
      </c>
      <c r="V3" s="49">
        <v>2</v>
      </c>
      <c r="W3" s="50">
        <v>1.976261</v>
      </c>
      <c r="X3" s="50">
        <v>0.005952380952380952</v>
      </c>
      <c r="Y3" s="81" t="s">
        <v>3515</v>
      </c>
      <c r="Z3" s="81" t="s">
        <v>3538</v>
      </c>
      <c r="AA3" s="81"/>
      <c r="AB3" s="84" t="s">
        <v>3593</v>
      </c>
      <c r="AC3" s="84" t="s">
        <v>3656</v>
      </c>
    </row>
    <row r="4" spans="1:29" ht="15">
      <c r="A4" s="111" t="s">
        <v>3383</v>
      </c>
      <c r="B4" s="67" t="s">
        <v>3392</v>
      </c>
      <c r="C4" s="67" t="s">
        <v>56</v>
      </c>
      <c r="D4" s="112"/>
      <c r="E4" s="14"/>
      <c r="F4" s="15" t="s">
        <v>3405</v>
      </c>
      <c r="G4" s="65"/>
      <c r="H4" s="65"/>
      <c r="I4" s="109">
        <v>4</v>
      </c>
      <c r="J4" s="79"/>
      <c r="K4" s="49">
        <v>96</v>
      </c>
      <c r="L4" s="49">
        <v>92</v>
      </c>
      <c r="M4" s="49">
        <v>9</v>
      </c>
      <c r="N4" s="49">
        <v>101</v>
      </c>
      <c r="O4" s="49">
        <v>3</v>
      </c>
      <c r="P4" s="50">
        <v>0</v>
      </c>
      <c r="Q4" s="50">
        <v>0</v>
      </c>
      <c r="R4" s="49">
        <v>1</v>
      </c>
      <c r="S4" s="49">
        <v>0</v>
      </c>
      <c r="T4" s="49">
        <v>96</v>
      </c>
      <c r="U4" s="49">
        <v>101</v>
      </c>
      <c r="V4" s="49">
        <v>2</v>
      </c>
      <c r="W4" s="50">
        <v>1.95855</v>
      </c>
      <c r="X4" s="50">
        <v>0.010416666666666666</v>
      </c>
      <c r="Y4" s="81" t="s">
        <v>3516</v>
      </c>
      <c r="Z4" s="81" t="s">
        <v>2414</v>
      </c>
      <c r="AA4" s="81"/>
      <c r="AB4" s="84" t="s">
        <v>3594</v>
      </c>
      <c r="AC4" s="84" t="s">
        <v>3657</v>
      </c>
    </row>
    <row r="5" spans="1:29" ht="15">
      <c r="A5" s="111" t="s">
        <v>3384</v>
      </c>
      <c r="B5" s="67" t="s">
        <v>3393</v>
      </c>
      <c r="C5" s="67" t="s">
        <v>56</v>
      </c>
      <c r="D5" s="112"/>
      <c r="E5" s="14"/>
      <c r="F5" s="15" t="s">
        <v>3406</v>
      </c>
      <c r="G5" s="65"/>
      <c r="H5" s="65"/>
      <c r="I5" s="109">
        <v>5</v>
      </c>
      <c r="J5" s="79"/>
      <c r="K5" s="49">
        <v>95</v>
      </c>
      <c r="L5" s="49">
        <v>90</v>
      </c>
      <c r="M5" s="49">
        <v>10</v>
      </c>
      <c r="N5" s="49">
        <v>100</v>
      </c>
      <c r="O5" s="49">
        <v>1</v>
      </c>
      <c r="P5" s="50">
        <v>0</v>
      </c>
      <c r="Q5" s="50">
        <v>0</v>
      </c>
      <c r="R5" s="49">
        <v>1</v>
      </c>
      <c r="S5" s="49">
        <v>0</v>
      </c>
      <c r="T5" s="49">
        <v>95</v>
      </c>
      <c r="U5" s="49">
        <v>100</v>
      </c>
      <c r="V5" s="49">
        <v>2</v>
      </c>
      <c r="W5" s="50">
        <v>1.958116</v>
      </c>
      <c r="X5" s="50">
        <v>0.010526315789473684</v>
      </c>
      <c r="Y5" s="81" t="s">
        <v>3517</v>
      </c>
      <c r="Z5" s="81" t="s">
        <v>3539</v>
      </c>
      <c r="AA5" s="81"/>
      <c r="AB5" s="84" t="s">
        <v>3595</v>
      </c>
      <c r="AC5" s="84" t="s">
        <v>3658</v>
      </c>
    </row>
    <row r="6" spans="1:29" ht="15">
      <c r="A6" s="111" t="s">
        <v>3385</v>
      </c>
      <c r="B6" s="67" t="s">
        <v>3394</v>
      </c>
      <c r="C6" s="67" t="s">
        <v>56</v>
      </c>
      <c r="D6" s="112"/>
      <c r="E6" s="14"/>
      <c r="F6" s="15" t="s">
        <v>3407</v>
      </c>
      <c r="G6" s="65"/>
      <c r="H6" s="65"/>
      <c r="I6" s="109">
        <v>6</v>
      </c>
      <c r="J6" s="79"/>
      <c r="K6" s="49">
        <v>92</v>
      </c>
      <c r="L6" s="49">
        <v>87</v>
      </c>
      <c r="M6" s="49">
        <v>10</v>
      </c>
      <c r="N6" s="49">
        <v>97</v>
      </c>
      <c r="O6" s="49">
        <v>1</v>
      </c>
      <c r="P6" s="50">
        <v>0</v>
      </c>
      <c r="Q6" s="50">
        <v>0</v>
      </c>
      <c r="R6" s="49">
        <v>1</v>
      </c>
      <c r="S6" s="49">
        <v>0</v>
      </c>
      <c r="T6" s="49">
        <v>92</v>
      </c>
      <c r="U6" s="49">
        <v>97</v>
      </c>
      <c r="V6" s="49">
        <v>2</v>
      </c>
      <c r="W6" s="50">
        <v>1.956758</v>
      </c>
      <c r="X6" s="50">
        <v>0.010869565217391304</v>
      </c>
      <c r="Y6" s="81" t="s">
        <v>3518</v>
      </c>
      <c r="Z6" s="81" t="s">
        <v>2414</v>
      </c>
      <c r="AA6" s="81"/>
      <c r="AB6" s="84" t="s">
        <v>3596</v>
      </c>
      <c r="AC6" s="84" t="s">
        <v>3659</v>
      </c>
    </row>
    <row r="7" spans="1:29" ht="15">
      <c r="A7" s="111" t="s">
        <v>3386</v>
      </c>
      <c r="B7" s="67" t="s">
        <v>3395</v>
      </c>
      <c r="C7" s="67" t="s">
        <v>56</v>
      </c>
      <c r="D7" s="112"/>
      <c r="E7" s="14"/>
      <c r="F7" s="15" t="s">
        <v>3408</v>
      </c>
      <c r="G7" s="65"/>
      <c r="H7" s="65"/>
      <c r="I7" s="109">
        <v>7</v>
      </c>
      <c r="J7" s="79"/>
      <c r="K7" s="49">
        <v>90</v>
      </c>
      <c r="L7" s="49">
        <v>82</v>
      </c>
      <c r="M7" s="49">
        <v>21</v>
      </c>
      <c r="N7" s="49">
        <v>103</v>
      </c>
      <c r="O7" s="49">
        <v>3</v>
      </c>
      <c r="P7" s="50">
        <v>0</v>
      </c>
      <c r="Q7" s="50">
        <v>0</v>
      </c>
      <c r="R7" s="49">
        <v>1</v>
      </c>
      <c r="S7" s="49">
        <v>0</v>
      </c>
      <c r="T7" s="49">
        <v>90</v>
      </c>
      <c r="U7" s="49">
        <v>103</v>
      </c>
      <c r="V7" s="49">
        <v>2</v>
      </c>
      <c r="W7" s="50">
        <v>1.955802</v>
      </c>
      <c r="X7" s="50">
        <v>0.011111111111111112</v>
      </c>
      <c r="Y7" s="81" t="s">
        <v>3519</v>
      </c>
      <c r="Z7" s="81" t="s">
        <v>2414</v>
      </c>
      <c r="AA7" s="81"/>
      <c r="AB7" s="84" t="s">
        <v>3597</v>
      </c>
      <c r="AC7" s="84" t="s">
        <v>3660</v>
      </c>
    </row>
    <row r="8" spans="1:29" ht="15">
      <c r="A8" s="111" t="s">
        <v>3387</v>
      </c>
      <c r="B8" s="67" t="s">
        <v>3396</v>
      </c>
      <c r="C8" s="67" t="s">
        <v>56</v>
      </c>
      <c r="D8" s="112"/>
      <c r="E8" s="14"/>
      <c r="F8" s="15" t="s">
        <v>3409</v>
      </c>
      <c r="G8" s="65"/>
      <c r="H8" s="65"/>
      <c r="I8" s="109">
        <v>8</v>
      </c>
      <c r="J8" s="79"/>
      <c r="K8" s="49">
        <v>90</v>
      </c>
      <c r="L8" s="49">
        <v>87</v>
      </c>
      <c r="M8" s="49">
        <v>7</v>
      </c>
      <c r="N8" s="49">
        <v>94</v>
      </c>
      <c r="O8" s="49">
        <v>1</v>
      </c>
      <c r="P8" s="50">
        <v>0</v>
      </c>
      <c r="Q8" s="50">
        <v>0</v>
      </c>
      <c r="R8" s="49">
        <v>1</v>
      </c>
      <c r="S8" s="49">
        <v>0</v>
      </c>
      <c r="T8" s="49">
        <v>90</v>
      </c>
      <c r="U8" s="49">
        <v>94</v>
      </c>
      <c r="V8" s="49">
        <v>2</v>
      </c>
      <c r="W8" s="50">
        <v>1.955802</v>
      </c>
      <c r="X8" s="50">
        <v>0.011111111111111112</v>
      </c>
      <c r="Y8" s="81" t="s">
        <v>3520</v>
      </c>
      <c r="Z8" s="81" t="s">
        <v>3540</v>
      </c>
      <c r="AA8" s="81"/>
      <c r="AB8" s="84" t="s">
        <v>3598</v>
      </c>
      <c r="AC8" s="84" t="s">
        <v>3661</v>
      </c>
    </row>
    <row r="9" spans="1:29" ht="15">
      <c r="A9" s="111" t="s">
        <v>3388</v>
      </c>
      <c r="B9" s="67" t="s">
        <v>3397</v>
      </c>
      <c r="C9" s="67" t="s">
        <v>56</v>
      </c>
      <c r="D9" s="112"/>
      <c r="E9" s="14"/>
      <c r="F9" s="15" t="s">
        <v>3410</v>
      </c>
      <c r="G9" s="65"/>
      <c r="H9" s="65"/>
      <c r="I9" s="109">
        <v>9</v>
      </c>
      <c r="J9" s="79"/>
      <c r="K9" s="49">
        <v>60</v>
      </c>
      <c r="L9" s="49">
        <v>56</v>
      </c>
      <c r="M9" s="49">
        <v>11</v>
      </c>
      <c r="N9" s="49">
        <v>67</v>
      </c>
      <c r="O9" s="49">
        <v>1</v>
      </c>
      <c r="P9" s="50">
        <v>0</v>
      </c>
      <c r="Q9" s="50">
        <v>0</v>
      </c>
      <c r="R9" s="49">
        <v>1</v>
      </c>
      <c r="S9" s="49">
        <v>0</v>
      </c>
      <c r="T9" s="49">
        <v>60</v>
      </c>
      <c r="U9" s="49">
        <v>67</v>
      </c>
      <c r="V9" s="49">
        <v>2</v>
      </c>
      <c r="W9" s="50">
        <v>1.933889</v>
      </c>
      <c r="X9" s="50">
        <v>0.016666666666666666</v>
      </c>
      <c r="Y9" s="81" t="s">
        <v>3521</v>
      </c>
      <c r="Z9" s="81" t="s">
        <v>2414</v>
      </c>
      <c r="AA9" s="81"/>
      <c r="AB9" s="84" t="s">
        <v>3599</v>
      </c>
      <c r="AC9" s="84" t="s">
        <v>3662</v>
      </c>
    </row>
    <row r="10" spans="1:29" ht="14.25" customHeight="1">
      <c r="A10" s="111" t="s">
        <v>3389</v>
      </c>
      <c r="B10" s="67" t="s">
        <v>3398</v>
      </c>
      <c r="C10" s="67" t="s">
        <v>56</v>
      </c>
      <c r="D10" s="112"/>
      <c r="E10" s="14"/>
      <c r="F10" s="15" t="s">
        <v>3411</v>
      </c>
      <c r="G10" s="65"/>
      <c r="H10" s="65"/>
      <c r="I10" s="109">
        <v>10</v>
      </c>
      <c r="J10" s="79"/>
      <c r="K10" s="49">
        <v>4</v>
      </c>
      <c r="L10" s="49">
        <v>4</v>
      </c>
      <c r="M10" s="49">
        <v>0</v>
      </c>
      <c r="N10" s="49">
        <v>4</v>
      </c>
      <c r="O10" s="49">
        <v>1</v>
      </c>
      <c r="P10" s="50">
        <v>0</v>
      </c>
      <c r="Q10" s="50">
        <v>0</v>
      </c>
      <c r="R10" s="49">
        <v>1</v>
      </c>
      <c r="S10" s="49">
        <v>0</v>
      </c>
      <c r="T10" s="49">
        <v>4</v>
      </c>
      <c r="U10" s="49">
        <v>4</v>
      </c>
      <c r="V10" s="49">
        <v>2</v>
      </c>
      <c r="W10" s="50">
        <v>1.125</v>
      </c>
      <c r="X10" s="50">
        <v>0.25</v>
      </c>
      <c r="Y10" s="81"/>
      <c r="Z10" s="81"/>
      <c r="AA10" s="81"/>
      <c r="AB10" s="84" t="s">
        <v>2423</v>
      </c>
      <c r="AC10" s="84" t="s">
        <v>2423</v>
      </c>
    </row>
    <row r="11" spans="1:29" ht="15">
      <c r="A11" s="111" t="s">
        <v>3390</v>
      </c>
      <c r="B11" s="67" t="s">
        <v>3399</v>
      </c>
      <c r="C11" s="67" t="s">
        <v>56</v>
      </c>
      <c r="D11" s="112"/>
      <c r="E11" s="14"/>
      <c r="F11" s="15" t="s">
        <v>3412</v>
      </c>
      <c r="G11" s="65"/>
      <c r="H11" s="65"/>
      <c r="I11" s="109">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81"/>
      <c r="Z11" s="81"/>
      <c r="AA11" s="81"/>
      <c r="AB11" s="84" t="s">
        <v>3600</v>
      </c>
      <c r="AC11" s="84" t="s">
        <v>2423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3382</v>
      </c>
      <c r="B2" s="84" t="s">
        <v>898</v>
      </c>
      <c r="C2" s="81">
        <f>VLOOKUP("~"&amp;GroupVertices[[#This Row],[Vertex]],Vertices[],MATCH("ID",Vertices[[#Headers],[Vertex]:[Top Word Pairs in Comment by Salience]],0),FALSE)</f>
        <v>700</v>
      </c>
    </row>
    <row r="3" spans="1:3" ht="15">
      <c r="A3" s="82" t="s">
        <v>3382</v>
      </c>
      <c r="B3" s="84" t="s">
        <v>907</v>
      </c>
      <c r="C3" s="81">
        <f>VLOOKUP("~"&amp;GroupVertices[[#This Row],[Vertex]],Vertices[],MATCH("ID",Vertices[[#Headers],[Vertex]:[Top Word Pairs in Comment by Salience]],0),FALSE)</f>
        <v>4</v>
      </c>
    </row>
    <row r="4" spans="1:3" ht="15">
      <c r="A4" s="82" t="s">
        <v>3382</v>
      </c>
      <c r="B4" s="84" t="s">
        <v>896</v>
      </c>
      <c r="C4" s="81">
        <f>VLOOKUP("~"&amp;GroupVertices[[#This Row],[Vertex]],Vertices[],MATCH("ID",Vertices[[#Headers],[Vertex]:[Top Word Pairs in Comment by Salience]],0),FALSE)</f>
        <v>699</v>
      </c>
    </row>
    <row r="5" spans="1:3" ht="15">
      <c r="A5" s="82" t="s">
        <v>3382</v>
      </c>
      <c r="B5" s="84" t="s">
        <v>895</v>
      </c>
      <c r="C5" s="81">
        <f>VLOOKUP("~"&amp;GroupVertices[[#This Row],[Vertex]],Vertices[],MATCH("ID",Vertices[[#Headers],[Vertex]:[Top Word Pairs in Comment by Salience]],0),FALSE)</f>
        <v>698</v>
      </c>
    </row>
    <row r="6" spans="1:3" ht="15">
      <c r="A6" s="82" t="s">
        <v>3382</v>
      </c>
      <c r="B6" s="84" t="s">
        <v>894</v>
      </c>
      <c r="C6" s="81">
        <f>VLOOKUP("~"&amp;GroupVertices[[#This Row],[Vertex]],Vertices[],MATCH("ID",Vertices[[#Headers],[Vertex]:[Top Word Pairs in Comment by Salience]],0),FALSE)</f>
        <v>697</v>
      </c>
    </row>
    <row r="7" spans="1:3" ht="15">
      <c r="A7" s="82" t="s">
        <v>3382</v>
      </c>
      <c r="B7" s="84" t="s">
        <v>893</v>
      </c>
      <c r="C7" s="81">
        <f>VLOOKUP("~"&amp;GroupVertices[[#This Row],[Vertex]],Vertices[],MATCH("ID",Vertices[[#Headers],[Vertex]:[Top Word Pairs in Comment by Salience]],0),FALSE)</f>
        <v>696</v>
      </c>
    </row>
    <row r="8" spans="1:3" ht="15">
      <c r="A8" s="82" t="s">
        <v>3382</v>
      </c>
      <c r="B8" s="84" t="s">
        <v>892</v>
      </c>
      <c r="C8" s="81">
        <f>VLOOKUP("~"&amp;GroupVertices[[#This Row],[Vertex]],Vertices[],MATCH("ID",Vertices[[#Headers],[Vertex]:[Top Word Pairs in Comment by Salience]],0),FALSE)</f>
        <v>695</v>
      </c>
    </row>
    <row r="9" spans="1:3" ht="15">
      <c r="A9" s="82" t="s">
        <v>3382</v>
      </c>
      <c r="B9" s="84" t="s">
        <v>891</v>
      </c>
      <c r="C9" s="81">
        <f>VLOOKUP("~"&amp;GroupVertices[[#This Row],[Vertex]],Vertices[],MATCH("ID",Vertices[[#Headers],[Vertex]:[Top Word Pairs in Comment by Salience]],0),FALSE)</f>
        <v>694</v>
      </c>
    </row>
    <row r="10" spans="1:3" ht="15">
      <c r="A10" s="82" t="s">
        <v>3382</v>
      </c>
      <c r="B10" s="84" t="s">
        <v>890</v>
      </c>
      <c r="C10" s="81">
        <f>VLOOKUP("~"&amp;GroupVertices[[#This Row],[Vertex]],Vertices[],MATCH("ID",Vertices[[#Headers],[Vertex]:[Top Word Pairs in Comment by Salience]],0),FALSE)</f>
        <v>693</v>
      </c>
    </row>
    <row r="11" spans="1:3" ht="15">
      <c r="A11" s="82" t="s">
        <v>3382</v>
      </c>
      <c r="B11" s="84" t="s">
        <v>889</v>
      </c>
      <c r="C11" s="81">
        <f>VLOOKUP("~"&amp;GroupVertices[[#This Row],[Vertex]],Vertices[],MATCH("ID",Vertices[[#Headers],[Vertex]:[Top Word Pairs in Comment by Salience]],0),FALSE)</f>
        <v>692</v>
      </c>
    </row>
    <row r="12" spans="1:3" ht="15">
      <c r="A12" s="82" t="s">
        <v>3382</v>
      </c>
      <c r="B12" s="84" t="s">
        <v>888</v>
      </c>
      <c r="C12" s="81">
        <f>VLOOKUP("~"&amp;GroupVertices[[#This Row],[Vertex]],Vertices[],MATCH("ID",Vertices[[#Headers],[Vertex]:[Top Word Pairs in Comment by Salience]],0),FALSE)</f>
        <v>691</v>
      </c>
    </row>
    <row r="13" spans="1:3" ht="15">
      <c r="A13" s="82" t="s">
        <v>3382</v>
      </c>
      <c r="B13" s="84" t="s">
        <v>887</v>
      </c>
      <c r="C13" s="81">
        <f>VLOOKUP("~"&amp;GroupVertices[[#This Row],[Vertex]],Vertices[],MATCH("ID",Vertices[[#Headers],[Vertex]:[Top Word Pairs in Comment by Salience]],0),FALSE)</f>
        <v>690</v>
      </c>
    </row>
    <row r="14" spans="1:3" ht="15">
      <c r="A14" s="82" t="s">
        <v>3382</v>
      </c>
      <c r="B14" s="84" t="s">
        <v>886</v>
      </c>
      <c r="C14" s="81">
        <f>VLOOKUP("~"&amp;GroupVertices[[#This Row],[Vertex]],Vertices[],MATCH("ID",Vertices[[#Headers],[Vertex]:[Top Word Pairs in Comment by Salience]],0),FALSE)</f>
        <v>689</v>
      </c>
    </row>
    <row r="15" spans="1:3" ht="15">
      <c r="A15" s="82" t="s">
        <v>3382</v>
      </c>
      <c r="B15" s="84" t="s">
        <v>885</v>
      </c>
      <c r="C15" s="81">
        <f>VLOOKUP("~"&amp;GroupVertices[[#This Row],[Vertex]],Vertices[],MATCH("ID",Vertices[[#Headers],[Vertex]:[Top Word Pairs in Comment by Salience]],0),FALSE)</f>
        <v>688</v>
      </c>
    </row>
    <row r="16" spans="1:3" ht="15">
      <c r="A16" s="82" t="s">
        <v>3382</v>
      </c>
      <c r="B16" s="84" t="s">
        <v>884</v>
      </c>
      <c r="C16" s="81">
        <f>VLOOKUP("~"&amp;GroupVertices[[#This Row],[Vertex]],Vertices[],MATCH("ID",Vertices[[#Headers],[Vertex]:[Top Word Pairs in Comment by Salience]],0),FALSE)</f>
        <v>687</v>
      </c>
    </row>
    <row r="17" spans="1:3" ht="15">
      <c r="A17" s="82" t="s">
        <v>3382</v>
      </c>
      <c r="B17" s="84" t="s">
        <v>883</v>
      </c>
      <c r="C17" s="81">
        <f>VLOOKUP("~"&amp;GroupVertices[[#This Row],[Vertex]],Vertices[],MATCH("ID",Vertices[[#Headers],[Vertex]:[Top Word Pairs in Comment by Salience]],0),FALSE)</f>
        <v>686</v>
      </c>
    </row>
    <row r="18" spans="1:3" ht="15">
      <c r="A18" s="82" t="s">
        <v>3382</v>
      </c>
      <c r="B18" s="84" t="s">
        <v>882</v>
      </c>
      <c r="C18" s="81">
        <f>VLOOKUP("~"&amp;GroupVertices[[#This Row],[Vertex]],Vertices[],MATCH("ID",Vertices[[#Headers],[Vertex]:[Top Word Pairs in Comment by Salience]],0),FALSE)</f>
        <v>685</v>
      </c>
    </row>
    <row r="19" spans="1:3" ht="15">
      <c r="A19" s="82" t="s">
        <v>3382</v>
      </c>
      <c r="B19" s="84" t="s">
        <v>881</v>
      </c>
      <c r="C19" s="81">
        <f>VLOOKUP("~"&amp;GroupVertices[[#This Row],[Vertex]],Vertices[],MATCH("ID",Vertices[[#Headers],[Vertex]:[Top Word Pairs in Comment by Salience]],0),FALSE)</f>
        <v>684</v>
      </c>
    </row>
    <row r="20" spans="1:3" ht="15">
      <c r="A20" s="82" t="s">
        <v>3382</v>
      </c>
      <c r="B20" s="84" t="s">
        <v>880</v>
      </c>
      <c r="C20" s="81">
        <f>VLOOKUP("~"&amp;GroupVertices[[#This Row],[Vertex]],Vertices[],MATCH("ID",Vertices[[#Headers],[Vertex]:[Top Word Pairs in Comment by Salience]],0),FALSE)</f>
        <v>683</v>
      </c>
    </row>
    <row r="21" spans="1:3" ht="15">
      <c r="A21" s="82" t="s">
        <v>3382</v>
      </c>
      <c r="B21" s="84" t="s">
        <v>879</v>
      </c>
      <c r="C21" s="81">
        <f>VLOOKUP("~"&amp;GroupVertices[[#This Row],[Vertex]],Vertices[],MATCH("ID",Vertices[[#Headers],[Vertex]:[Top Word Pairs in Comment by Salience]],0),FALSE)</f>
        <v>682</v>
      </c>
    </row>
    <row r="22" spans="1:3" ht="15">
      <c r="A22" s="82" t="s">
        <v>3382</v>
      </c>
      <c r="B22" s="84" t="s">
        <v>878</v>
      </c>
      <c r="C22" s="81">
        <f>VLOOKUP("~"&amp;GroupVertices[[#This Row],[Vertex]],Vertices[],MATCH("ID",Vertices[[#Headers],[Vertex]:[Top Word Pairs in Comment by Salience]],0),FALSE)</f>
        <v>681</v>
      </c>
    </row>
    <row r="23" spans="1:3" ht="15">
      <c r="A23" s="82" t="s">
        <v>3382</v>
      </c>
      <c r="B23" s="84" t="s">
        <v>877</v>
      </c>
      <c r="C23" s="81">
        <f>VLOOKUP("~"&amp;GroupVertices[[#This Row],[Vertex]],Vertices[],MATCH("ID",Vertices[[#Headers],[Vertex]:[Top Word Pairs in Comment by Salience]],0),FALSE)</f>
        <v>680</v>
      </c>
    </row>
    <row r="24" spans="1:3" ht="15">
      <c r="A24" s="82" t="s">
        <v>3382</v>
      </c>
      <c r="B24" s="84" t="s">
        <v>876</v>
      </c>
      <c r="C24" s="81">
        <f>VLOOKUP("~"&amp;GroupVertices[[#This Row],[Vertex]],Vertices[],MATCH("ID",Vertices[[#Headers],[Vertex]:[Top Word Pairs in Comment by Salience]],0),FALSE)</f>
        <v>679</v>
      </c>
    </row>
    <row r="25" spans="1:3" ht="15">
      <c r="A25" s="82" t="s">
        <v>3382</v>
      </c>
      <c r="B25" s="84" t="s">
        <v>875</v>
      </c>
      <c r="C25" s="81">
        <f>VLOOKUP("~"&amp;GroupVertices[[#This Row],[Vertex]],Vertices[],MATCH("ID",Vertices[[#Headers],[Vertex]:[Top Word Pairs in Comment by Salience]],0),FALSE)</f>
        <v>678</v>
      </c>
    </row>
    <row r="26" spans="1:3" ht="15">
      <c r="A26" s="82" t="s">
        <v>3382</v>
      </c>
      <c r="B26" s="84" t="s">
        <v>874</v>
      </c>
      <c r="C26" s="81">
        <f>VLOOKUP("~"&amp;GroupVertices[[#This Row],[Vertex]],Vertices[],MATCH("ID",Vertices[[#Headers],[Vertex]:[Top Word Pairs in Comment by Salience]],0),FALSE)</f>
        <v>677</v>
      </c>
    </row>
    <row r="27" spans="1:3" ht="15">
      <c r="A27" s="82" t="s">
        <v>3382</v>
      </c>
      <c r="B27" s="84" t="s">
        <v>873</v>
      </c>
      <c r="C27" s="81">
        <f>VLOOKUP("~"&amp;GroupVertices[[#This Row],[Vertex]],Vertices[],MATCH("ID",Vertices[[#Headers],[Vertex]:[Top Word Pairs in Comment by Salience]],0),FALSE)</f>
        <v>676</v>
      </c>
    </row>
    <row r="28" spans="1:3" ht="15">
      <c r="A28" s="82" t="s">
        <v>3382</v>
      </c>
      <c r="B28" s="84" t="s">
        <v>872</v>
      </c>
      <c r="C28" s="81">
        <f>VLOOKUP("~"&amp;GroupVertices[[#This Row],[Vertex]],Vertices[],MATCH("ID",Vertices[[#Headers],[Vertex]:[Top Word Pairs in Comment by Salience]],0),FALSE)</f>
        <v>675</v>
      </c>
    </row>
    <row r="29" spans="1:3" ht="15">
      <c r="A29" s="82" t="s">
        <v>3382</v>
      </c>
      <c r="B29" s="84" t="s">
        <v>871</v>
      </c>
      <c r="C29" s="81">
        <f>VLOOKUP("~"&amp;GroupVertices[[#This Row],[Vertex]],Vertices[],MATCH("ID",Vertices[[#Headers],[Vertex]:[Top Word Pairs in Comment by Salience]],0),FALSE)</f>
        <v>674</v>
      </c>
    </row>
    <row r="30" spans="1:3" ht="15">
      <c r="A30" s="82" t="s">
        <v>3382</v>
      </c>
      <c r="B30" s="84" t="s">
        <v>870</v>
      </c>
      <c r="C30" s="81">
        <f>VLOOKUP("~"&amp;GroupVertices[[#This Row],[Vertex]],Vertices[],MATCH("ID",Vertices[[#Headers],[Vertex]:[Top Word Pairs in Comment by Salience]],0),FALSE)</f>
        <v>673</v>
      </c>
    </row>
    <row r="31" spans="1:3" ht="15">
      <c r="A31" s="82" t="s">
        <v>3382</v>
      </c>
      <c r="B31" s="84" t="s">
        <v>869</v>
      </c>
      <c r="C31" s="81">
        <f>VLOOKUP("~"&amp;GroupVertices[[#This Row],[Vertex]],Vertices[],MATCH("ID",Vertices[[#Headers],[Vertex]:[Top Word Pairs in Comment by Salience]],0),FALSE)</f>
        <v>672</v>
      </c>
    </row>
    <row r="32" spans="1:3" ht="15">
      <c r="A32" s="82" t="s">
        <v>3382</v>
      </c>
      <c r="B32" s="84" t="s">
        <v>868</v>
      </c>
      <c r="C32" s="81">
        <f>VLOOKUP("~"&amp;GroupVertices[[#This Row],[Vertex]],Vertices[],MATCH("ID",Vertices[[#Headers],[Vertex]:[Top Word Pairs in Comment by Salience]],0),FALSE)</f>
        <v>671</v>
      </c>
    </row>
    <row r="33" spans="1:3" ht="15">
      <c r="A33" s="82" t="s">
        <v>3382</v>
      </c>
      <c r="B33" s="84" t="s">
        <v>867</v>
      </c>
      <c r="C33" s="81">
        <f>VLOOKUP("~"&amp;GroupVertices[[#This Row],[Vertex]],Vertices[],MATCH("ID",Vertices[[#Headers],[Vertex]:[Top Word Pairs in Comment by Salience]],0),FALSE)</f>
        <v>670</v>
      </c>
    </row>
    <row r="34" spans="1:3" ht="15">
      <c r="A34" s="82" t="s">
        <v>3382</v>
      </c>
      <c r="B34" s="84" t="s">
        <v>866</v>
      </c>
      <c r="C34" s="81">
        <f>VLOOKUP("~"&amp;GroupVertices[[#This Row],[Vertex]],Vertices[],MATCH("ID",Vertices[[#Headers],[Vertex]:[Top Word Pairs in Comment by Salience]],0),FALSE)</f>
        <v>669</v>
      </c>
    </row>
    <row r="35" spans="1:3" ht="15">
      <c r="A35" s="82" t="s">
        <v>3382</v>
      </c>
      <c r="B35" s="84" t="s">
        <v>865</v>
      </c>
      <c r="C35" s="81">
        <f>VLOOKUP("~"&amp;GroupVertices[[#This Row],[Vertex]],Vertices[],MATCH("ID",Vertices[[#Headers],[Vertex]:[Top Word Pairs in Comment by Salience]],0),FALSE)</f>
        <v>668</v>
      </c>
    </row>
    <row r="36" spans="1:3" ht="15">
      <c r="A36" s="82" t="s">
        <v>3382</v>
      </c>
      <c r="B36" s="84" t="s">
        <v>864</v>
      </c>
      <c r="C36" s="81">
        <f>VLOOKUP("~"&amp;GroupVertices[[#This Row],[Vertex]],Vertices[],MATCH("ID",Vertices[[#Headers],[Vertex]:[Top Word Pairs in Comment by Salience]],0),FALSE)</f>
        <v>667</v>
      </c>
    </row>
    <row r="37" spans="1:3" ht="15">
      <c r="A37" s="82" t="s">
        <v>3382</v>
      </c>
      <c r="B37" s="84" t="s">
        <v>863</v>
      </c>
      <c r="C37" s="81">
        <f>VLOOKUP("~"&amp;GroupVertices[[#This Row],[Vertex]],Vertices[],MATCH("ID",Vertices[[#Headers],[Vertex]:[Top Word Pairs in Comment by Salience]],0),FALSE)</f>
        <v>666</v>
      </c>
    </row>
    <row r="38" spans="1:3" ht="15">
      <c r="A38" s="82" t="s">
        <v>3382</v>
      </c>
      <c r="B38" s="84" t="s">
        <v>862</v>
      </c>
      <c r="C38" s="81">
        <f>VLOOKUP("~"&amp;GroupVertices[[#This Row],[Vertex]],Vertices[],MATCH("ID",Vertices[[#Headers],[Vertex]:[Top Word Pairs in Comment by Salience]],0),FALSE)</f>
        <v>665</v>
      </c>
    </row>
    <row r="39" spans="1:3" ht="15">
      <c r="A39" s="82" t="s">
        <v>3382</v>
      </c>
      <c r="B39" s="84" t="s">
        <v>861</v>
      </c>
      <c r="C39" s="81">
        <f>VLOOKUP("~"&amp;GroupVertices[[#This Row],[Vertex]],Vertices[],MATCH("ID",Vertices[[#Headers],[Vertex]:[Top Word Pairs in Comment by Salience]],0),FALSE)</f>
        <v>664</v>
      </c>
    </row>
    <row r="40" spans="1:3" ht="15">
      <c r="A40" s="82" t="s">
        <v>3382</v>
      </c>
      <c r="B40" s="84" t="s">
        <v>860</v>
      </c>
      <c r="C40" s="81">
        <f>VLOOKUP("~"&amp;GroupVertices[[#This Row],[Vertex]],Vertices[],MATCH("ID",Vertices[[#Headers],[Vertex]:[Top Word Pairs in Comment by Salience]],0),FALSE)</f>
        <v>663</v>
      </c>
    </row>
    <row r="41" spans="1:3" ht="15">
      <c r="A41" s="82" t="s">
        <v>3382</v>
      </c>
      <c r="B41" s="84" t="s">
        <v>859</v>
      </c>
      <c r="C41" s="81">
        <f>VLOOKUP("~"&amp;GroupVertices[[#This Row],[Vertex]],Vertices[],MATCH("ID",Vertices[[#Headers],[Vertex]:[Top Word Pairs in Comment by Salience]],0),FALSE)</f>
        <v>662</v>
      </c>
    </row>
    <row r="42" spans="1:3" ht="15">
      <c r="A42" s="82" t="s">
        <v>3382</v>
      </c>
      <c r="B42" s="84" t="s">
        <v>858</v>
      </c>
      <c r="C42" s="81">
        <f>VLOOKUP("~"&amp;GroupVertices[[#This Row],[Vertex]],Vertices[],MATCH("ID",Vertices[[#Headers],[Vertex]:[Top Word Pairs in Comment by Salience]],0),FALSE)</f>
        <v>661</v>
      </c>
    </row>
    <row r="43" spans="1:3" ht="15">
      <c r="A43" s="82" t="s">
        <v>3382</v>
      </c>
      <c r="B43" s="84" t="s">
        <v>857</v>
      </c>
      <c r="C43" s="81">
        <f>VLOOKUP("~"&amp;GroupVertices[[#This Row],[Vertex]],Vertices[],MATCH("ID",Vertices[[#Headers],[Vertex]:[Top Word Pairs in Comment by Salience]],0),FALSE)</f>
        <v>660</v>
      </c>
    </row>
    <row r="44" spans="1:3" ht="15">
      <c r="A44" s="82" t="s">
        <v>3382</v>
      </c>
      <c r="B44" s="84" t="s">
        <v>856</v>
      </c>
      <c r="C44" s="81">
        <f>VLOOKUP("~"&amp;GroupVertices[[#This Row],[Vertex]],Vertices[],MATCH("ID",Vertices[[#Headers],[Vertex]:[Top Word Pairs in Comment by Salience]],0),FALSE)</f>
        <v>659</v>
      </c>
    </row>
    <row r="45" spans="1:3" ht="15">
      <c r="A45" s="82" t="s">
        <v>3382</v>
      </c>
      <c r="B45" s="84" t="s">
        <v>855</v>
      </c>
      <c r="C45" s="81">
        <f>VLOOKUP("~"&amp;GroupVertices[[#This Row],[Vertex]],Vertices[],MATCH("ID",Vertices[[#Headers],[Vertex]:[Top Word Pairs in Comment by Salience]],0),FALSE)</f>
        <v>658</v>
      </c>
    </row>
    <row r="46" spans="1:3" ht="15">
      <c r="A46" s="82" t="s">
        <v>3382</v>
      </c>
      <c r="B46" s="84" t="s">
        <v>854</v>
      </c>
      <c r="C46" s="81">
        <f>VLOOKUP("~"&amp;GroupVertices[[#This Row],[Vertex]],Vertices[],MATCH("ID",Vertices[[#Headers],[Vertex]:[Top Word Pairs in Comment by Salience]],0),FALSE)</f>
        <v>657</v>
      </c>
    </row>
    <row r="47" spans="1:3" ht="15">
      <c r="A47" s="82" t="s">
        <v>3382</v>
      </c>
      <c r="B47" s="84" t="s">
        <v>853</v>
      </c>
      <c r="C47" s="81">
        <f>VLOOKUP("~"&amp;GroupVertices[[#This Row],[Vertex]],Vertices[],MATCH("ID",Vertices[[#Headers],[Vertex]:[Top Word Pairs in Comment by Salience]],0),FALSE)</f>
        <v>656</v>
      </c>
    </row>
    <row r="48" spans="1:3" ht="15">
      <c r="A48" s="82" t="s">
        <v>3382</v>
      </c>
      <c r="B48" s="84" t="s">
        <v>852</v>
      </c>
      <c r="C48" s="81">
        <f>VLOOKUP("~"&amp;GroupVertices[[#This Row],[Vertex]],Vertices[],MATCH("ID",Vertices[[#Headers],[Vertex]:[Top Word Pairs in Comment by Salience]],0),FALSE)</f>
        <v>655</v>
      </c>
    </row>
    <row r="49" spans="1:3" ht="15">
      <c r="A49" s="82" t="s">
        <v>3382</v>
      </c>
      <c r="B49" s="84" t="s">
        <v>851</v>
      </c>
      <c r="C49" s="81">
        <f>VLOOKUP("~"&amp;GroupVertices[[#This Row],[Vertex]],Vertices[],MATCH("ID",Vertices[[#Headers],[Vertex]:[Top Word Pairs in Comment by Salience]],0),FALSE)</f>
        <v>654</v>
      </c>
    </row>
    <row r="50" spans="1:3" ht="15">
      <c r="A50" s="82" t="s">
        <v>3382</v>
      </c>
      <c r="B50" s="84" t="s">
        <v>850</v>
      </c>
      <c r="C50" s="81">
        <f>VLOOKUP("~"&amp;GroupVertices[[#This Row],[Vertex]],Vertices[],MATCH("ID",Vertices[[#Headers],[Vertex]:[Top Word Pairs in Comment by Salience]],0),FALSE)</f>
        <v>653</v>
      </c>
    </row>
    <row r="51" spans="1:3" ht="15">
      <c r="A51" s="82" t="s">
        <v>3382</v>
      </c>
      <c r="B51" s="84" t="s">
        <v>849</v>
      </c>
      <c r="C51" s="81">
        <f>VLOOKUP("~"&amp;GroupVertices[[#This Row],[Vertex]],Vertices[],MATCH("ID",Vertices[[#Headers],[Vertex]:[Top Word Pairs in Comment by Salience]],0),FALSE)</f>
        <v>652</v>
      </c>
    </row>
    <row r="52" spans="1:3" ht="15">
      <c r="A52" s="82" t="s">
        <v>3382</v>
      </c>
      <c r="B52" s="84" t="s">
        <v>848</v>
      </c>
      <c r="C52" s="81">
        <f>VLOOKUP("~"&amp;GroupVertices[[#This Row],[Vertex]],Vertices[],MATCH("ID",Vertices[[#Headers],[Vertex]:[Top Word Pairs in Comment by Salience]],0),FALSE)</f>
        <v>651</v>
      </c>
    </row>
    <row r="53" spans="1:3" ht="15">
      <c r="A53" s="82" t="s">
        <v>3382</v>
      </c>
      <c r="B53" s="84" t="s">
        <v>847</v>
      </c>
      <c r="C53" s="81">
        <f>VLOOKUP("~"&amp;GroupVertices[[#This Row],[Vertex]],Vertices[],MATCH("ID",Vertices[[#Headers],[Vertex]:[Top Word Pairs in Comment by Salience]],0),FALSE)</f>
        <v>650</v>
      </c>
    </row>
    <row r="54" spans="1:3" ht="15">
      <c r="A54" s="82" t="s">
        <v>3382</v>
      </c>
      <c r="B54" s="84" t="s">
        <v>846</v>
      </c>
      <c r="C54" s="81">
        <f>VLOOKUP("~"&amp;GroupVertices[[#This Row],[Vertex]],Vertices[],MATCH("ID",Vertices[[#Headers],[Vertex]:[Top Word Pairs in Comment by Salience]],0),FALSE)</f>
        <v>649</v>
      </c>
    </row>
    <row r="55" spans="1:3" ht="15">
      <c r="A55" s="82" t="s">
        <v>3382</v>
      </c>
      <c r="B55" s="84" t="s">
        <v>845</v>
      </c>
      <c r="C55" s="81">
        <f>VLOOKUP("~"&amp;GroupVertices[[#This Row],[Vertex]],Vertices[],MATCH("ID",Vertices[[#Headers],[Vertex]:[Top Word Pairs in Comment by Salience]],0),FALSE)</f>
        <v>648</v>
      </c>
    </row>
    <row r="56" spans="1:3" ht="15">
      <c r="A56" s="82" t="s">
        <v>3382</v>
      </c>
      <c r="B56" s="84" t="s">
        <v>844</v>
      </c>
      <c r="C56" s="81">
        <f>VLOOKUP("~"&amp;GroupVertices[[#This Row],[Vertex]],Vertices[],MATCH("ID",Vertices[[#Headers],[Vertex]:[Top Word Pairs in Comment by Salience]],0),FALSE)</f>
        <v>647</v>
      </c>
    </row>
    <row r="57" spans="1:3" ht="15">
      <c r="A57" s="82" t="s">
        <v>3382</v>
      </c>
      <c r="B57" s="84" t="s">
        <v>843</v>
      </c>
      <c r="C57" s="81">
        <f>VLOOKUP("~"&amp;GroupVertices[[#This Row],[Vertex]],Vertices[],MATCH("ID",Vertices[[#Headers],[Vertex]:[Top Word Pairs in Comment by Salience]],0),FALSE)</f>
        <v>646</v>
      </c>
    </row>
    <row r="58" spans="1:3" ht="15">
      <c r="A58" s="82" t="s">
        <v>3382</v>
      </c>
      <c r="B58" s="84" t="s">
        <v>842</v>
      </c>
      <c r="C58" s="81">
        <f>VLOOKUP("~"&amp;GroupVertices[[#This Row],[Vertex]],Vertices[],MATCH("ID",Vertices[[#Headers],[Vertex]:[Top Word Pairs in Comment by Salience]],0),FALSE)</f>
        <v>645</v>
      </c>
    </row>
    <row r="59" spans="1:3" ht="15">
      <c r="A59" s="82" t="s">
        <v>3382</v>
      </c>
      <c r="B59" s="84" t="s">
        <v>841</v>
      </c>
      <c r="C59" s="81">
        <f>VLOOKUP("~"&amp;GroupVertices[[#This Row],[Vertex]],Vertices[],MATCH("ID",Vertices[[#Headers],[Vertex]:[Top Word Pairs in Comment by Salience]],0),FALSE)</f>
        <v>644</v>
      </c>
    </row>
    <row r="60" spans="1:3" ht="15">
      <c r="A60" s="82" t="s">
        <v>3382</v>
      </c>
      <c r="B60" s="84" t="s">
        <v>840</v>
      </c>
      <c r="C60" s="81">
        <f>VLOOKUP("~"&amp;GroupVertices[[#This Row],[Vertex]],Vertices[],MATCH("ID",Vertices[[#Headers],[Vertex]:[Top Word Pairs in Comment by Salience]],0),FALSE)</f>
        <v>643</v>
      </c>
    </row>
    <row r="61" spans="1:3" ht="15">
      <c r="A61" s="82" t="s">
        <v>3382</v>
      </c>
      <c r="B61" s="84" t="s">
        <v>839</v>
      </c>
      <c r="C61" s="81">
        <f>VLOOKUP("~"&amp;GroupVertices[[#This Row],[Vertex]],Vertices[],MATCH("ID",Vertices[[#Headers],[Vertex]:[Top Word Pairs in Comment by Salience]],0),FALSE)</f>
        <v>642</v>
      </c>
    </row>
    <row r="62" spans="1:3" ht="15">
      <c r="A62" s="82" t="s">
        <v>3382</v>
      </c>
      <c r="B62" s="84" t="s">
        <v>838</v>
      </c>
      <c r="C62" s="81">
        <f>VLOOKUP("~"&amp;GroupVertices[[#This Row],[Vertex]],Vertices[],MATCH("ID",Vertices[[#Headers],[Vertex]:[Top Word Pairs in Comment by Salience]],0),FALSE)</f>
        <v>641</v>
      </c>
    </row>
    <row r="63" spans="1:3" ht="15">
      <c r="A63" s="82" t="s">
        <v>3382</v>
      </c>
      <c r="B63" s="84" t="s">
        <v>836</v>
      </c>
      <c r="C63" s="81">
        <f>VLOOKUP("~"&amp;GroupVertices[[#This Row],[Vertex]],Vertices[],MATCH("ID",Vertices[[#Headers],[Vertex]:[Top Word Pairs in Comment by Salience]],0),FALSE)</f>
        <v>640</v>
      </c>
    </row>
    <row r="64" spans="1:3" ht="15">
      <c r="A64" s="82" t="s">
        <v>3382</v>
      </c>
      <c r="B64" s="84" t="s">
        <v>835</v>
      </c>
      <c r="C64" s="81">
        <f>VLOOKUP("~"&amp;GroupVertices[[#This Row],[Vertex]],Vertices[],MATCH("ID",Vertices[[#Headers],[Vertex]:[Top Word Pairs in Comment by Salience]],0),FALSE)</f>
        <v>639</v>
      </c>
    </row>
    <row r="65" spans="1:3" ht="15">
      <c r="A65" s="82" t="s">
        <v>3382</v>
      </c>
      <c r="B65" s="84" t="s">
        <v>834</v>
      </c>
      <c r="C65" s="81">
        <f>VLOOKUP("~"&amp;GroupVertices[[#This Row],[Vertex]],Vertices[],MATCH("ID",Vertices[[#Headers],[Vertex]:[Top Word Pairs in Comment by Salience]],0),FALSE)</f>
        <v>638</v>
      </c>
    </row>
    <row r="66" spans="1:3" ht="15">
      <c r="A66" s="82" t="s">
        <v>3382</v>
      </c>
      <c r="B66" s="84" t="s">
        <v>833</v>
      </c>
      <c r="C66" s="81">
        <f>VLOOKUP("~"&amp;GroupVertices[[#This Row],[Vertex]],Vertices[],MATCH("ID",Vertices[[#Headers],[Vertex]:[Top Word Pairs in Comment by Salience]],0),FALSE)</f>
        <v>637</v>
      </c>
    </row>
    <row r="67" spans="1:3" ht="15">
      <c r="A67" s="82" t="s">
        <v>3382</v>
      </c>
      <c r="B67" s="84" t="s">
        <v>832</v>
      </c>
      <c r="C67" s="81">
        <f>VLOOKUP("~"&amp;GroupVertices[[#This Row],[Vertex]],Vertices[],MATCH("ID",Vertices[[#Headers],[Vertex]:[Top Word Pairs in Comment by Salience]],0),FALSE)</f>
        <v>636</v>
      </c>
    </row>
    <row r="68" spans="1:3" ht="15">
      <c r="A68" s="82" t="s">
        <v>3382</v>
      </c>
      <c r="B68" s="84" t="s">
        <v>831</v>
      </c>
      <c r="C68" s="81">
        <f>VLOOKUP("~"&amp;GroupVertices[[#This Row],[Vertex]],Vertices[],MATCH("ID",Vertices[[#Headers],[Vertex]:[Top Word Pairs in Comment by Salience]],0),FALSE)</f>
        <v>635</v>
      </c>
    </row>
    <row r="69" spans="1:3" ht="15">
      <c r="A69" s="82" t="s">
        <v>3382</v>
      </c>
      <c r="B69" s="84" t="s">
        <v>830</v>
      </c>
      <c r="C69" s="81">
        <f>VLOOKUP("~"&amp;GroupVertices[[#This Row],[Vertex]],Vertices[],MATCH("ID",Vertices[[#Headers],[Vertex]:[Top Word Pairs in Comment by Salience]],0),FALSE)</f>
        <v>634</v>
      </c>
    </row>
    <row r="70" spans="1:3" ht="15">
      <c r="A70" s="82" t="s">
        <v>3382</v>
      </c>
      <c r="B70" s="84" t="s">
        <v>829</v>
      </c>
      <c r="C70" s="81">
        <f>VLOOKUP("~"&amp;GroupVertices[[#This Row],[Vertex]],Vertices[],MATCH("ID",Vertices[[#Headers],[Vertex]:[Top Word Pairs in Comment by Salience]],0),FALSE)</f>
        <v>633</v>
      </c>
    </row>
    <row r="71" spans="1:3" ht="15">
      <c r="A71" s="82" t="s">
        <v>3382</v>
      </c>
      <c r="B71" s="84" t="s">
        <v>828</v>
      </c>
      <c r="C71" s="81">
        <f>VLOOKUP("~"&amp;GroupVertices[[#This Row],[Vertex]],Vertices[],MATCH("ID",Vertices[[#Headers],[Vertex]:[Top Word Pairs in Comment by Salience]],0),FALSE)</f>
        <v>632</v>
      </c>
    </row>
    <row r="72" spans="1:3" ht="15">
      <c r="A72" s="82" t="s">
        <v>3382</v>
      </c>
      <c r="B72" s="84" t="s">
        <v>827</v>
      </c>
      <c r="C72" s="81">
        <f>VLOOKUP("~"&amp;GroupVertices[[#This Row],[Vertex]],Vertices[],MATCH("ID",Vertices[[#Headers],[Vertex]:[Top Word Pairs in Comment by Salience]],0),FALSE)</f>
        <v>631</v>
      </c>
    </row>
    <row r="73" spans="1:3" ht="15">
      <c r="A73" s="82" t="s">
        <v>3382</v>
      </c>
      <c r="B73" s="84" t="s">
        <v>826</v>
      </c>
      <c r="C73" s="81">
        <f>VLOOKUP("~"&amp;GroupVertices[[#This Row],[Vertex]],Vertices[],MATCH("ID",Vertices[[#Headers],[Vertex]:[Top Word Pairs in Comment by Salience]],0),FALSE)</f>
        <v>630</v>
      </c>
    </row>
    <row r="74" spans="1:3" ht="15">
      <c r="A74" s="82" t="s">
        <v>3382</v>
      </c>
      <c r="B74" s="84" t="s">
        <v>825</v>
      </c>
      <c r="C74" s="81">
        <f>VLOOKUP("~"&amp;GroupVertices[[#This Row],[Vertex]],Vertices[],MATCH("ID",Vertices[[#Headers],[Vertex]:[Top Word Pairs in Comment by Salience]],0),FALSE)</f>
        <v>629</v>
      </c>
    </row>
    <row r="75" spans="1:3" ht="15">
      <c r="A75" s="82" t="s">
        <v>3382</v>
      </c>
      <c r="B75" s="84" t="s">
        <v>824</v>
      </c>
      <c r="C75" s="81">
        <f>VLOOKUP("~"&amp;GroupVertices[[#This Row],[Vertex]],Vertices[],MATCH("ID",Vertices[[#Headers],[Vertex]:[Top Word Pairs in Comment by Salience]],0),FALSE)</f>
        <v>628</v>
      </c>
    </row>
    <row r="76" spans="1:3" ht="15">
      <c r="A76" s="82" t="s">
        <v>3382</v>
      </c>
      <c r="B76" s="84" t="s">
        <v>823</v>
      </c>
      <c r="C76" s="81">
        <f>VLOOKUP("~"&amp;GroupVertices[[#This Row],[Vertex]],Vertices[],MATCH("ID",Vertices[[#Headers],[Vertex]:[Top Word Pairs in Comment by Salience]],0),FALSE)</f>
        <v>627</v>
      </c>
    </row>
    <row r="77" spans="1:3" ht="15">
      <c r="A77" s="82" t="s">
        <v>3382</v>
      </c>
      <c r="B77" s="84" t="s">
        <v>822</v>
      </c>
      <c r="C77" s="81">
        <f>VLOOKUP("~"&amp;GroupVertices[[#This Row],[Vertex]],Vertices[],MATCH("ID",Vertices[[#Headers],[Vertex]:[Top Word Pairs in Comment by Salience]],0),FALSE)</f>
        <v>626</v>
      </c>
    </row>
    <row r="78" spans="1:3" ht="15">
      <c r="A78" s="82" t="s">
        <v>3382</v>
      </c>
      <c r="B78" s="84" t="s">
        <v>821</v>
      </c>
      <c r="C78" s="81">
        <f>VLOOKUP("~"&amp;GroupVertices[[#This Row],[Vertex]],Vertices[],MATCH("ID",Vertices[[#Headers],[Vertex]:[Top Word Pairs in Comment by Salience]],0),FALSE)</f>
        <v>625</v>
      </c>
    </row>
    <row r="79" spans="1:3" ht="15">
      <c r="A79" s="82" t="s">
        <v>3382</v>
      </c>
      <c r="B79" s="84" t="s">
        <v>820</v>
      </c>
      <c r="C79" s="81">
        <f>VLOOKUP("~"&amp;GroupVertices[[#This Row],[Vertex]],Vertices[],MATCH("ID",Vertices[[#Headers],[Vertex]:[Top Word Pairs in Comment by Salience]],0),FALSE)</f>
        <v>624</v>
      </c>
    </row>
    <row r="80" spans="1:3" ht="15">
      <c r="A80" s="82" t="s">
        <v>3382</v>
      </c>
      <c r="B80" s="84" t="s">
        <v>819</v>
      </c>
      <c r="C80" s="81">
        <f>VLOOKUP("~"&amp;GroupVertices[[#This Row],[Vertex]],Vertices[],MATCH("ID",Vertices[[#Headers],[Vertex]:[Top Word Pairs in Comment by Salience]],0),FALSE)</f>
        <v>623</v>
      </c>
    </row>
    <row r="81" spans="1:3" ht="15">
      <c r="A81" s="82" t="s">
        <v>3382</v>
      </c>
      <c r="B81" s="84" t="s">
        <v>818</v>
      </c>
      <c r="C81" s="81">
        <f>VLOOKUP("~"&amp;GroupVertices[[#This Row],[Vertex]],Vertices[],MATCH("ID",Vertices[[#Headers],[Vertex]:[Top Word Pairs in Comment by Salience]],0),FALSE)</f>
        <v>622</v>
      </c>
    </row>
    <row r="82" spans="1:3" ht="15">
      <c r="A82" s="82" t="s">
        <v>3382</v>
      </c>
      <c r="B82" s="84" t="s">
        <v>817</v>
      </c>
      <c r="C82" s="81">
        <f>VLOOKUP("~"&amp;GroupVertices[[#This Row],[Vertex]],Vertices[],MATCH("ID",Vertices[[#Headers],[Vertex]:[Top Word Pairs in Comment by Salience]],0),FALSE)</f>
        <v>621</v>
      </c>
    </row>
    <row r="83" spans="1:3" ht="15">
      <c r="A83" s="82" t="s">
        <v>3382</v>
      </c>
      <c r="B83" s="84" t="s">
        <v>816</v>
      </c>
      <c r="C83" s="81">
        <f>VLOOKUP("~"&amp;GroupVertices[[#This Row],[Vertex]],Vertices[],MATCH("ID",Vertices[[#Headers],[Vertex]:[Top Word Pairs in Comment by Salience]],0),FALSE)</f>
        <v>620</v>
      </c>
    </row>
    <row r="84" spans="1:3" ht="15">
      <c r="A84" s="82" t="s">
        <v>3382</v>
      </c>
      <c r="B84" s="84" t="s">
        <v>815</v>
      </c>
      <c r="C84" s="81">
        <f>VLOOKUP("~"&amp;GroupVertices[[#This Row],[Vertex]],Vertices[],MATCH("ID",Vertices[[#Headers],[Vertex]:[Top Word Pairs in Comment by Salience]],0),FALSE)</f>
        <v>619</v>
      </c>
    </row>
    <row r="85" spans="1:3" ht="15">
      <c r="A85" s="82" t="s">
        <v>3382</v>
      </c>
      <c r="B85" s="84" t="s">
        <v>814</v>
      </c>
      <c r="C85" s="81">
        <f>VLOOKUP("~"&amp;GroupVertices[[#This Row],[Vertex]],Vertices[],MATCH("ID",Vertices[[#Headers],[Vertex]:[Top Word Pairs in Comment by Salience]],0),FALSE)</f>
        <v>618</v>
      </c>
    </row>
    <row r="86" spans="1:3" ht="15">
      <c r="A86" s="82" t="s">
        <v>3382</v>
      </c>
      <c r="B86" s="84" t="s">
        <v>813</v>
      </c>
      <c r="C86" s="81">
        <f>VLOOKUP("~"&amp;GroupVertices[[#This Row],[Vertex]],Vertices[],MATCH("ID",Vertices[[#Headers],[Vertex]:[Top Word Pairs in Comment by Salience]],0),FALSE)</f>
        <v>617</v>
      </c>
    </row>
    <row r="87" spans="1:3" ht="15">
      <c r="A87" s="82" t="s">
        <v>3382</v>
      </c>
      <c r="B87" s="84" t="s">
        <v>812</v>
      </c>
      <c r="C87" s="81">
        <f>VLOOKUP("~"&amp;GroupVertices[[#This Row],[Vertex]],Vertices[],MATCH("ID",Vertices[[#Headers],[Vertex]:[Top Word Pairs in Comment by Salience]],0),FALSE)</f>
        <v>616</v>
      </c>
    </row>
    <row r="88" spans="1:3" ht="15">
      <c r="A88" s="82" t="s">
        <v>3382</v>
      </c>
      <c r="B88" s="84" t="s">
        <v>811</v>
      </c>
      <c r="C88" s="81">
        <f>VLOOKUP("~"&amp;GroupVertices[[#This Row],[Vertex]],Vertices[],MATCH("ID",Vertices[[#Headers],[Vertex]:[Top Word Pairs in Comment by Salience]],0),FALSE)</f>
        <v>615</v>
      </c>
    </row>
    <row r="89" spans="1:3" ht="15">
      <c r="A89" s="82" t="s">
        <v>3382</v>
      </c>
      <c r="B89" s="84" t="s">
        <v>810</v>
      </c>
      <c r="C89" s="81">
        <f>VLOOKUP("~"&amp;GroupVertices[[#This Row],[Vertex]],Vertices[],MATCH("ID",Vertices[[#Headers],[Vertex]:[Top Word Pairs in Comment by Salience]],0),FALSE)</f>
        <v>614</v>
      </c>
    </row>
    <row r="90" spans="1:3" ht="15">
      <c r="A90" s="82" t="s">
        <v>3382</v>
      </c>
      <c r="B90" s="84" t="s">
        <v>809</v>
      </c>
      <c r="C90" s="81">
        <f>VLOOKUP("~"&amp;GroupVertices[[#This Row],[Vertex]],Vertices[],MATCH("ID",Vertices[[#Headers],[Vertex]:[Top Word Pairs in Comment by Salience]],0),FALSE)</f>
        <v>613</v>
      </c>
    </row>
    <row r="91" spans="1:3" ht="15">
      <c r="A91" s="82" t="s">
        <v>3382</v>
      </c>
      <c r="B91" s="84" t="s">
        <v>808</v>
      </c>
      <c r="C91" s="81">
        <f>VLOOKUP("~"&amp;GroupVertices[[#This Row],[Vertex]],Vertices[],MATCH("ID",Vertices[[#Headers],[Vertex]:[Top Word Pairs in Comment by Salience]],0),FALSE)</f>
        <v>612</v>
      </c>
    </row>
    <row r="92" spans="1:3" ht="15">
      <c r="A92" s="82" t="s">
        <v>3382</v>
      </c>
      <c r="B92" s="84" t="s">
        <v>807</v>
      </c>
      <c r="C92" s="81">
        <f>VLOOKUP("~"&amp;GroupVertices[[#This Row],[Vertex]],Vertices[],MATCH("ID",Vertices[[#Headers],[Vertex]:[Top Word Pairs in Comment by Salience]],0),FALSE)</f>
        <v>611</v>
      </c>
    </row>
    <row r="93" spans="1:3" ht="15">
      <c r="A93" s="82" t="s">
        <v>3382</v>
      </c>
      <c r="B93" s="84" t="s">
        <v>523</v>
      </c>
      <c r="C93" s="81">
        <f>VLOOKUP("~"&amp;GroupVertices[[#This Row],[Vertex]],Vertices[],MATCH("ID",Vertices[[#Headers],[Vertex]:[Top Word Pairs in Comment by Salience]],0),FALSE)</f>
        <v>337</v>
      </c>
    </row>
    <row r="94" spans="1:3" ht="15">
      <c r="A94" s="82" t="s">
        <v>3382</v>
      </c>
      <c r="B94" s="84" t="s">
        <v>522</v>
      </c>
      <c r="C94" s="81">
        <f>VLOOKUP("~"&amp;GroupVertices[[#This Row],[Vertex]],Vertices[],MATCH("ID",Vertices[[#Headers],[Vertex]:[Top Word Pairs in Comment by Salience]],0),FALSE)</f>
        <v>336</v>
      </c>
    </row>
    <row r="95" spans="1:3" ht="15">
      <c r="A95" s="82" t="s">
        <v>3382</v>
      </c>
      <c r="B95" s="84" t="s">
        <v>521</v>
      </c>
      <c r="C95" s="81">
        <f>VLOOKUP("~"&amp;GroupVertices[[#This Row],[Vertex]],Vertices[],MATCH("ID",Vertices[[#Headers],[Vertex]:[Top Word Pairs in Comment by Salience]],0),FALSE)</f>
        <v>335</v>
      </c>
    </row>
    <row r="96" spans="1:3" ht="15">
      <c r="A96" s="82" t="s">
        <v>3382</v>
      </c>
      <c r="B96" s="84" t="s">
        <v>520</v>
      </c>
      <c r="C96" s="81">
        <f>VLOOKUP("~"&amp;GroupVertices[[#This Row],[Vertex]],Vertices[],MATCH("ID",Vertices[[#Headers],[Vertex]:[Top Word Pairs in Comment by Salience]],0),FALSE)</f>
        <v>334</v>
      </c>
    </row>
    <row r="97" spans="1:3" ht="15">
      <c r="A97" s="82" t="s">
        <v>3382</v>
      </c>
      <c r="B97" s="84" t="s">
        <v>519</v>
      </c>
      <c r="C97" s="81">
        <f>VLOOKUP("~"&amp;GroupVertices[[#This Row],[Vertex]],Vertices[],MATCH("ID",Vertices[[#Headers],[Vertex]:[Top Word Pairs in Comment by Salience]],0),FALSE)</f>
        <v>333</v>
      </c>
    </row>
    <row r="98" spans="1:3" ht="15">
      <c r="A98" s="82" t="s">
        <v>3382</v>
      </c>
      <c r="B98" s="84" t="s">
        <v>518</v>
      </c>
      <c r="C98" s="81">
        <f>VLOOKUP("~"&amp;GroupVertices[[#This Row],[Vertex]],Vertices[],MATCH("ID",Vertices[[#Headers],[Vertex]:[Top Word Pairs in Comment by Salience]],0),FALSE)</f>
        <v>332</v>
      </c>
    </row>
    <row r="99" spans="1:3" ht="15">
      <c r="A99" s="82" t="s">
        <v>3382</v>
      </c>
      <c r="B99" s="84" t="s">
        <v>517</v>
      </c>
      <c r="C99" s="81">
        <f>VLOOKUP("~"&amp;GroupVertices[[#This Row],[Vertex]],Vertices[],MATCH("ID",Vertices[[#Headers],[Vertex]:[Top Word Pairs in Comment by Salience]],0),FALSE)</f>
        <v>331</v>
      </c>
    </row>
    <row r="100" spans="1:3" ht="15">
      <c r="A100" s="82" t="s">
        <v>3382</v>
      </c>
      <c r="B100" s="84" t="s">
        <v>516</v>
      </c>
      <c r="C100" s="81">
        <f>VLOOKUP("~"&amp;GroupVertices[[#This Row],[Vertex]],Vertices[],MATCH("ID",Vertices[[#Headers],[Vertex]:[Top Word Pairs in Comment by Salience]],0),FALSE)</f>
        <v>330</v>
      </c>
    </row>
    <row r="101" spans="1:3" ht="15">
      <c r="A101" s="82" t="s">
        <v>3382</v>
      </c>
      <c r="B101" s="84" t="s">
        <v>515</v>
      </c>
      <c r="C101" s="81">
        <f>VLOOKUP("~"&amp;GroupVertices[[#This Row],[Vertex]],Vertices[],MATCH("ID",Vertices[[#Headers],[Vertex]:[Top Word Pairs in Comment by Salience]],0),FALSE)</f>
        <v>329</v>
      </c>
    </row>
    <row r="102" spans="1:3" ht="15">
      <c r="A102" s="82" t="s">
        <v>3382</v>
      </c>
      <c r="B102" s="84" t="s">
        <v>514</v>
      </c>
      <c r="C102" s="81">
        <f>VLOOKUP("~"&amp;GroupVertices[[#This Row],[Vertex]],Vertices[],MATCH("ID",Vertices[[#Headers],[Vertex]:[Top Word Pairs in Comment by Salience]],0),FALSE)</f>
        <v>328</v>
      </c>
    </row>
    <row r="103" spans="1:3" ht="15">
      <c r="A103" s="82" t="s">
        <v>3382</v>
      </c>
      <c r="B103" s="84" t="s">
        <v>513</v>
      </c>
      <c r="C103" s="81">
        <f>VLOOKUP("~"&amp;GroupVertices[[#This Row],[Vertex]],Vertices[],MATCH("ID",Vertices[[#Headers],[Vertex]:[Top Word Pairs in Comment by Salience]],0),FALSE)</f>
        <v>327</v>
      </c>
    </row>
    <row r="104" spans="1:3" ht="15">
      <c r="A104" s="82" t="s">
        <v>3382</v>
      </c>
      <c r="B104" s="84" t="s">
        <v>512</v>
      </c>
      <c r="C104" s="81">
        <f>VLOOKUP("~"&amp;GroupVertices[[#This Row],[Vertex]],Vertices[],MATCH("ID",Vertices[[#Headers],[Vertex]:[Top Word Pairs in Comment by Salience]],0),FALSE)</f>
        <v>326</v>
      </c>
    </row>
    <row r="105" spans="1:3" ht="15">
      <c r="A105" s="82" t="s">
        <v>3382</v>
      </c>
      <c r="B105" s="84" t="s">
        <v>511</v>
      </c>
      <c r="C105" s="81">
        <f>VLOOKUP("~"&amp;GroupVertices[[#This Row],[Vertex]],Vertices[],MATCH("ID",Vertices[[#Headers],[Vertex]:[Top Word Pairs in Comment by Salience]],0),FALSE)</f>
        <v>325</v>
      </c>
    </row>
    <row r="106" spans="1:3" ht="15">
      <c r="A106" s="82" t="s">
        <v>3382</v>
      </c>
      <c r="B106" s="84" t="s">
        <v>510</v>
      </c>
      <c r="C106" s="81">
        <f>VLOOKUP("~"&amp;GroupVertices[[#This Row],[Vertex]],Vertices[],MATCH("ID",Vertices[[#Headers],[Vertex]:[Top Word Pairs in Comment by Salience]],0),FALSE)</f>
        <v>324</v>
      </c>
    </row>
    <row r="107" spans="1:3" ht="15">
      <c r="A107" s="82" t="s">
        <v>3382</v>
      </c>
      <c r="B107" s="84" t="s">
        <v>509</v>
      </c>
      <c r="C107" s="81">
        <f>VLOOKUP("~"&amp;GroupVertices[[#This Row],[Vertex]],Vertices[],MATCH("ID",Vertices[[#Headers],[Vertex]:[Top Word Pairs in Comment by Salience]],0),FALSE)</f>
        <v>323</v>
      </c>
    </row>
    <row r="108" spans="1:3" ht="15">
      <c r="A108" s="82" t="s">
        <v>3382</v>
      </c>
      <c r="B108" s="84" t="s">
        <v>508</v>
      </c>
      <c r="C108" s="81">
        <f>VLOOKUP("~"&amp;GroupVertices[[#This Row],[Vertex]],Vertices[],MATCH("ID",Vertices[[#Headers],[Vertex]:[Top Word Pairs in Comment by Salience]],0),FALSE)</f>
        <v>322</v>
      </c>
    </row>
    <row r="109" spans="1:3" ht="15">
      <c r="A109" s="82" t="s">
        <v>3382</v>
      </c>
      <c r="B109" s="84" t="s">
        <v>507</v>
      </c>
      <c r="C109" s="81">
        <f>VLOOKUP("~"&amp;GroupVertices[[#This Row],[Vertex]],Vertices[],MATCH("ID",Vertices[[#Headers],[Vertex]:[Top Word Pairs in Comment by Salience]],0),FALSE)</f>
        <v>321</v>
      </c>
    </row>
    <row r="110" spans="1:3" ht="15">
      <c r="A110" s="82" t="s">
        <v>3382</v>
      </c>
      <c r="B110" s="84" t="s">
        <v>506</v>
      </c>
      <c r="C110" s="81">
        <f>VLOOKUP("~"&amp;GroupVertices[[#This Row],[Vertex]],Vertices[],MATCH("ID",Vertices[[#Headers],[Vertex]:[Top Word Pairs in Comment by Salience]],0),FALSE)</f>
        <v>320</v>
      </c>
    </row>
    <row r="111" spans="1:3" ht="15">
      <c r="A111" s="82" t="s">
        <v>3382</v>
      </c>
      <c r="B111" s="84" t="s">
        <v>505</v>
      </c>
      <c r="C111" s="81">
        <f>VLOOKUP("~"&amp;GroupVertices[[#This Row],[Vertex]],Vertices[],MATCH("ID",Vertices[[#Headers],[Vertex]:[Top Word Pairs in Comment by Salience]],0),FALSE)</f>
        <v>319</v>
      </c>
    </row>
    <row r="112" spans="1:3" ht="15">
      <c r="A112" s="82" t="s">
        <v>3382</v>
      </c>
      <c r="B112" s="84" t="s">
        <v>504</v>
      </c>
      <c r="C112" s="81">
        <f>VLOOKUP("~"&amp;GroupVertices[[#This Row],[Vertex]],Vertices[],MATCH("ID",Vertices[[#Headers],[Vertex]:[Top Word Pairs in Comment by Salience]],0),FALSE)</f>
        <v>318</v>
      </c>
    </row>
    <row r="113" spans="1:3" ht="15">
      <c r="A113" s="82" t="s">
        <v>3382</v>
      </c>
      <c r="B113" s="84" t="s">
        <v>503</v>
      </c>
      <c r="C113" s="81">
        <f>VLOOKUP("~"&amp;GroupVertices[[#This Row],[Vertex]],Vertices[],MATCH("ID",Vertices[[#Headers],[Vertex]:[Top Word Pairs in Comment by Salience]],0),FALSE)</f>
        <v>317</v>
      </c>
    </row>
    <row r="114" spans="1:3" ht="15">
      <c r="A114" s="82" t="s">
        <v>3382</v>
      </c>
      <c r="B114" s="84" t="s">
        <v>502</v>
      </c>
      <c r="C114" s="81">
        <f>VLOOKUP("~"&amp;GroupVertices[[#This Row],[Vertex]],Vertices[],MATCH("ID",Vertices[[#Headers],[Vertex]:[Top Word Pairs in Comment by Salience]],0),FALSE)</f>
        <v>316</v>
      </c>
    </row>
    <row r="115" spans="1:3" ht="15">
      <c r="A115" s="82" t="s">
        <v>3382</v>
      </c>
      <c r="B115" s="84" t="s">
        <v>501</v>
      </c>
      <c r="C115" s="81">
        <f>VLOOKUP("~"&amp;GroupVertices[[#This Row],[Vertex]],Vertices[],MATCH("ID",Vertices[[#Headers],[Vertex]:[Top Word Pairs in Comment by Salience]],0),FALSE)</f>
        <v>315</v>
      </c>
    </row>
    <row r="116" spans="1:3" ht="15">
      <c r="A116" s="82" t="s">
        <v>3382</v>
      </c>
      <c r="B116" s="84" t="s">
        <v>500</v>
      </c>
      <c r="C116" s="81">
        <f>VLOOKUP("~"&amp;GroupVertices[[#This Row],[Vertex]],Vertices[],MATCH("ID",Vertices[[#Headers],[Vertex]:[Top Word Pairs in Comment by Salience]],0),FALSE)</f>
        <v>314</v>
      </c>
    </row>
    <row r="117" spans="1:3" ht="15">
      <c r="A117" s="82" t="s">
        <v>3382</v>
      </c>
      <c r="B117" s="84" t="s">
        <v>499</v>
      </c>
      <c r="C117" s="81">
        <f>VLOOKUP("~"&amp;GroupVertices[[#This Row],[Vertex]],Vertices[],MATCH("ID",Vertices[[#Headers],[Vertex]:[Top Word Pairs in Comment by Salience]],0),FALSE)</f>
        <v>313</v>
      </c>
    </row>
    <row r="118" spans="1:3" ht="15">
      <c r="A118" s="82" t="s">
        <v>3382</v>
      </c>
      <c r="B118" s="84" t="s">
        <v>498</v>
      </c>
      <c r="C118" s="81">
        <f>VLOOKUP("~"&amp;GroupVertices[[#This Row],[Vertex]],Vertices[],MATCH("ID",Vertices[[#Headers],[Vertex]:[Top Word Pairs in Comment by Salience]],0),FALSE)</f>
        <v>312</v>
      </c>
    </row>
    <row r="119" spans="1:3" ht="15">
      <c r="A119" s="82" t="s">
        <v>3382</v>
      </c>
      <c r="B119" s="84" t="s">
        <v>497</v>
      </c>
      <c r="C119" s="81">
        <f>VLOOKUP("~"&amp;GroupVertices[[#This Row],[Vertex]],Vertices[],MATCH("ID",Vertices[[#Headers],[Vertex]:[Top Word Pairs in Comment by Salience]],0),FALSE)</f>
        <v>311</v>
      </c>
    </row>
    <row r="120" spans="1:3" ht="15">
      <c r="A120" s="82" t="s">
        <v>3382</v>
      </c>
      <c r="B120" s="84" t="s">
        <v>496</v>
      </c>
      <c r="C120" s="81">
        <f>VLOOKUP("~"&amp;GroupVertices[[#This Row],[Vertex]],Vertices[],MATCH("ID",Vertices[[#Headers],[Vertex]:[Top Word Pairs in Comment by Salience]],0),FALSE)</f>
        <v>310</v>
      </c>
    </row>
    <row r="121" spans="1:3" ht="15">
      <c r="A121" s="82" t="s">
        <v>3382</v>
      </c>
      <c r="B121" s="84" t="s">
        <v>495</v>
      </c>
      <c r="C121" s="81">
        <f>VLOOKUP("~"&amp;GroupVertices[[#This Row],[Vertex]],Vertices[],MATCH("ID",Vertices[[#Headers],[Vertex]:[Top Word Pairs in Comment by Salience]],0),FALSE)</f>
        <v>309</v>
      </c>
    </row>
    <row r="122" spans="1:3" ht="15">
      <c r="A122" s="82" t="s">
        <v>3382</v>
      </c>
      <c r="B122" s="84" t="s">
        <v>493</v>
      </c>
      <c r="C122" s="81">
        <f>VLOOKUP("~"&amp;GroupVertices[[#This Row],[Vertex]],Vertices[],MATCH("ID",Vertices[[#Headers],[Vertex]:[Top Word Pairs in Comment by Salience]],0),FALSE)</f>
        <v>308</v>
      </c>
    </row>
    <row r="123" spans="1:3" ht="15">
      <c r="A123" s="82" t="s">
        <v>3382</v>
      </c>
      <c r="B123" s="84" t="s">
        <v>492</v>
      </c>
      <c r="C123" s="81">
        <f>VLOOKUP("~"&amp;GroupVertices[[#This Row],[Vertex]],Vertices[],MATCH("ID",Vertices[[#Headers],[Vertex]:[Top Word Pairs in Comment by Salience]],0),FALSE)</f>
        <v>307</v>
      </c>
    </row>
    <row r="124" spans="1:3" ht="15">
      <c r="A124" s="82" t="s">
        <v>3382</v>
      </c>
      <c r="B124" s="84" t="s">
        <v>491</v>
      </c>
      <c r="C124" s="81">
        <f>VLOOKUP("~"&amp;GroupVertices[[#This Row],[Vertex]],Vertices[],MATCH("ID",Vertices[[#Headers],[Vertex]:[Top Word Pairs in Comment by Salience]],0),FALSE)</f>
        <v>306</v>
      </c>
    </row>
    <row r="125" spans="1:3" ht="15">
      <c r="A125" s="82" t="s">
        <v>3382</v>
      </c>
      <c r="B125" s="84" t="s">
        <v>490</v>
      </c>
      <c r="C125" s="81">
        <f>VLOOKUP("~"&amp;GroupVertices[[#This Row],[Vertex]],Vertices[],MATCH("ID",Vertices[[#Headers],[Vertex]:[Top Word Pairs in Comment by Salience]],0),FALSE)</f>
        <v>305</v>
      </c>
    </row>
    <row r="126" spans="1:3" ht="15">
      <c r="A126" s="82" t="s">
        <v>3382</v>
      </c>
      <c r="B126" s="84" t="s">
        <v>489</v>
      </c>
      <c r="C126" s="81">
        <f>VLOOKUP("~"&amp;GroupVertices[[#This Row],[Vertex]],Vertices[],MATCH("ID",Vertices[[#Headers],[Vertex]:[Top Word Pairs in Comment by Salience]],0),FALSE)</f>
        <v>304</v>
      </c>
    </row>
    <row r="127" spans="1:3" ht="15">
      <c r="A127" s="82" t="s">
        <v>3382</v>
      </c>
      <c r="B127" s="84" t="s">
        <v>488</v>
      </c>
      <c r="C127" s="81">
        <f>VLOOKUP("~"&amp;GroupVertices[[#This Row],[Vertex]],Vertices[],MATCH("ID",Vertices[[#Headers],[Vertex]:[Top Word Pairs in Comment by Salience]],0),FALSE)</f>
        <v>303</v>
      </c>
    </row>
    <row r="128" spans="1:3" ht="15">
      <c r="A128" s="82" t="s">
        <v>3382</v>
      </c>
      <c r="B128" s="84" t="s">
        <v>487</v>
      </c>
      <c r="C128" s="81">
        <f>VLOOKUP("~"&amp;GroupVertices[[#This Row],[Vertex]],Vertices[],MATCH("ID",Vertices[[#Headers],[Vertex]:[Top Word Pairs in Comment by Salience]],0),FALSE)</f>
        <v>302</v>
      </c>
    </row>
    <row r="129" spans="1:3" ht="15">
      <c r="A129" s="82" t="s">
        <v>3382</v>
      </c>
      <c r="B129" s="84" t="s">
        <v>486</v>
      </c>
      <c r="C129" s="81">
        <f>VLOOKUP("~"&amp;GroupVertices[[#This Row],[Vertex]],Vertices[],MATCH("ID",Vertices[[#Headers],[Vertex]:[Top Word Pairs in Comment by Salience]],0),FALSE)</f>
        <v>301</v>
      </c>
    </row>
    <row r="130" spans="1:3" ht="15">
      <c r="A130" s="82" t="s">
        <v>3382</v>
      </c>
      <c r="B130" s="84" t="s">
        <v>485</v>
      </c>
      <c r="C130" s="81">
        <f>VLOOKUP("~"&amp;GroupVertices[[#This Row],[Vertex]],Vertices[],MATCH("ID",Vertices[[#Headers],[Vertex]:[Top Word Pairs in Comment by Salience]],0),FALSE)</f>
        <v>300</v>
      </c>
    </row>
    <row r="131" spans="1:3" ht="15">
      <c r="A131" s="82" t="s">
        <v>3382</v>
      </c>
      <c r="B131" s="84" t="s">
        <v>484</v>
      </c>
      <c r="C131" s="81">
        <f>VLOOKUP("~"&amp;GroupVertices[[#This Row],[Vertex]],Vertices[],MATCH("ID",Vertices[[#Headers],[Vertex]:[Top Word Pairs in Comment by Salience]],0),FALSE)</f>
        <v>299</v>
      </c>
    </row>
    <row r="132" spans="1:3" ht="15">
      <c r="A132" s="82" t="s">
        <v>3382</v>
      </c>
      <c r="B132" s="84" t="s">
        <v>483</v>
      </c>
      <c r="C132" s="81">
        <f>VLOOKUP("~"&amp;GroupVertices[[#This Row],[Vertex]],Vertices[],MATCH("ID",Vertices[[#Headers],[Vertex]:[Top Word Pairs in Comment by Salience]],0),FALSE)</f>
        <v>298</v>
      </c>
    </row>
    <row r="133" spans="1:3" ht="15">
      <c r="A133" s="82" t="s">
        <v>3382</v>
      </c>
      <c r="B133" s="84" t="s">
        <v>482</v>
      </c>
      <c r="C133" s="81">
        <f>VLOOKUP("~"&amp;GroupVertices[[#This Row],[Vertex]],Vertices[],MATCH("ID",Vertices[[#Headers],[Vertex]:[Top Word Pairs in Comment by Salience]],0),FALSE)</f>
        <v>297</v>
      </c>
    </row>
    <row r="134" spans="1:3" ht="15">
      <c r="A134" s="82" t="s">
        <v>3382</v>
      </c>
      <c r="B134" s="84" t="s">
        <v>481</v>
      </c>
      <c r="C134" s="81">
        <f>VLOOKUP("~"&amp;GroupVertices[[#This Row],[Vertex]],Vertices[],MATCH("ID",Vertices[[#Headers],[Vertex]:[Top Word Pairs in Comment by Salience]],0),FALSE)</f>
        <v>296</v>
      </c>
    </row>
    <row r="135" spans="1:3" ht="15">
      <c r="A135" s="82" t="s">
        <v>3382</v>
      </c>
      <c r="B135" s="84" t="s">
        <v>480</v>
      </c>
      <c r="C135" s="81">
        <f>VLOOKUP("~"&amp;GroupVertices[[#This Row],[Vertex]],Vertices[],MATCH("ID",Vertices[[#Headers],[Vertex]:[Top Word Pairs in Comment by Salience]],0),FALSE)</f>
        <v>295</v>
      </c>
    </row>
    <row r="136" spans="1:3" ht="15">
      <c r="A136" s="82" t="s">
        <v>3382</v>
      </c>
      <c r="B136" s="84" t="s">
        <v>479</v>
      </c>
      <c r="C136" s="81">
        <f>VLOOKUP("~"&amp;GroupVertices[[#This Row],[Vertex]],Vertices[],MATCH("ID",Vertices[[#Headers],[Vertex]:[Top Word Pairs in Comment by Salience]],0),FALSE)</f>
        <v>294</v>
      </c>
    </row>
    <row r="137" spans="1:3" ht="15">
      <c r="A137" s="82" t="s">
        <v>3382</v>
      </c>
      <c r="B137" s="84" t="s">
        <v>478</v>
      </c>
      <c r="C137" s="81">
        <f>VLOOKUP("~"&amp;GroupVertices[[#This Row],[Vertex]],Vertices[],MATCH("ID",Vertices[[#Headers],[Vertex]:[Top Word Pairs in Comment by Salience]],0),FALSE)</f>
        <v>293</v>
      </c>
    </row>
    <row r="138" spans="1:3" ht="15">
      <c r="A138" s="82" t="s">
        <v>3382</v>
      </c>
      <c r="B138" s="84" t="s">
        <v>477</v>
      </c>
      <c r="C138" s="81">
        <f>VLOOKUP("~"&amp;GroupVertices[[#This Row],[Vertex]],Vertices[],MATCH("ID",Vertices[[#Headers],[Vertex]:[Top Word Pairs in Comment by Salience]],0),FALSE)</f>
        <v>292</v>
      </c>
    </row>
    <row r="139" spans="1:3" ht="15">
      <c r="A139" s="82" t="s">
        <v>3382</v>
      </c>
      <c r="B139" s="84" t="s">
        <v>476</v>
      </c>
      <c r="C139" s="81">
        <f>VLOOKUP("~"&amp;GroupVertices[[#This Row],[Vertex]],Vertices[],MATCH("ID",Vertices[[#Headers],[Vertex]:[Top Word Pairs in Comment by Salience]],0),FALSE)</f>
        <v>291</v>
      </c>
    </row>
    <row r="140" spans="1:3" ht="15">
      <c r="A140" s="82" t="s">
        <v>3382</v>
      </c>
      <c r="B140" s="84" t="s">
        <v>475</v>
      </c>
      <c r="C140" s="81">
        <f>VLOOKUP("~"&amp;GroupVertices[[#This Row],[Vertex]],Vertices[],MATCH("ID",Vertices[[#Headers],[Vertex]:[Top Word Pairs in Comment by Salience]],0),FALSE)</f>
        <v>290</v>
      </c>
    </row>
    <row r="141" spans="1:3" ht="15">
      <c r="A141" s="82" t="s">
        <v>3382</v>
      </c>
      <c r="B141" s="84" t="s">
        <v>474</v>
      </c>
      <c r="C141" s="81">
        <f>VLOOKUP("~"&amp;GroupVertices[[#This Row],[Vertex]],Vertices[],MATCH("ID",Vertices[[#Headers],[Vertex]:[Top Word Pairs in Comment by Salience]],0),FALSE)</f>
        <v>289</v>
      </c>
    </row>
    <row r="142" spans="1:3" ht="15">
      <c r="A142" s="82" t="s">
        <v>3382</v>
      </c>
      <c r="B142" s="84" t="s">
        <v>473</v>
      </c>
      <c r="C142" s="81">
        <f>VLOOKUP("~"&amp;GroupVertices[[#This Row],[Vertex]],Vertices[],MATCH("ID",Vertices[[#Headers],[Vertex]:[Top Word Pairs in Comment by Salience]],0),FALSE)</f>
        <v>288</v>
      </c>
    </row>
    <row r="143" spans="1:3" ht="15">
      <c r="A143" s="82" t="s">
        <v>3382</v>
      </c>
      <c r="B143" s="84" t="s">
        <v>472</v>
      </c>
      <c r="C143" s="81">
        <f>VLOOKUP("~"&amp;GroupVertices[[#This Row],[Vertex]],Vertices[],MATCH("ID",Vertices[[#Headers],[Vertex]:[Top Word Pairs in Comment by Salience]],0),FALSE)</f>
        <v>287</v>
      </c>
    </row>
    <row r="144" spans="1:3" ht="15">
      <c r="A144" s="82" t="s">
        <v>3382</v>
      </c>
      <c r="B144" s="84" t="s">
        <v>471</v>
      </c>
      <c r="C144" s="81">
        <f>VLOOKUP("~"&amp;GroupVertices[[#This Row],[Vertex]],Vertices[],MATCH("ID",Vertices[[#Headers],[Vertex]:[Top Word Pairs in Comment by Salience]],0),FALSE)</f>
        <v>286</v>
      </c>
    </row>
    <row r="145" spans="1:3" ht="15">
      <c r="A145" s="82" t="s">
        <v>3382</v>
      </c>
      <c r="B145" s="84" t="s">
        <v>470</v>
      </c>
      <c r="C145" s="81">
        <f>VLOOKUP("~"&amp;GroupVertices[[#This Row],[Vertex]],Vertices[],MATCH("ID",Vertices[[#Headers],[Vertex]:[Top Word Pairs in Comment by Salience]],0),FALSE)</f>
        <v>285</v>
      </c>
    </row>
    <row r="146" spans="1:3" ht="15">
      <c r="A146" s="82" t="s">
        <v>3382</v>
      </c>
      <c r="B146" s="84" t="s">
        <v>469</v>
      </c>
      <c r="C146" s="81">
        <f>VLOOKUP("~"&amp;GroupVertices[[#This Row],[Vertex]],Vertices[],MATCH("ID",Vertices[[#Headers],[Vertex]:[Top Word Pairs in Comment by Salience]],0),FALSE)</f>
        <v>284</v>
      </c>
    </row>
    <row r="147" spans="1:3" ht="15">
      <c r="A147" s="82" t="s">
        <v>3382</v>
      </c>
      <c r="B147" s="84" t="s">
        <v>468</v>
      </c>
      <c r="C147" s="81">
        <f>VLOOKUP("~"&amp;GroupVertices[[#This Row],[Vertex]],Vertices[],MATCH("ID",Vertices[[#Headers],[Vertex]:[Top Word Pairs in Comment by Salience]],0),FALSE)</f>
        <v>283</v>
      </c>
    </row>
    <row r="148" spans="1:3" ht="15">
      <c r="A148" s="82" t="s">
        <v>3382</v>
      </c>
      <c r="B148" s="84" t="s">
        <v>467</v>
      </c>
      <c r="C148" s="81">
        <f>VLOOKUP("~"&amp;GroupVertices[[#This Row],[Vertex]],Vertices[],MATCH("ID",Vertices[[#Headers],[Vertex]:[Top Word Pairs in Comment by Salience]],0),FALSE)</f>
        <v>282</v>
      </c>
    </row>
    <row r="149" spans="1:3" ht="15">
      <c r="A149" s="82" t="s">
        <v>3382</v>
      </c>
      <c r="B149" s="84" t="s">
        <v>466</v>
      </c>
      <c r="C149" s="81">
        <f>VLOOKUP("~"&amp;GroupVertices[[#This Row],[Vertex]],Vertices[],MATCH("ID",Vertices[[#Headers],[Vertex]:[Top Word Pairs in Comment by Salience]],0),FALSE)</f>
        <v>281</v>
      </c>
    </row>
    <row r="150" spans="1:3" ht="15">
      <c r="A150" s="82" t="s">
        <v>3382</v>
      </c>
      <c r="B150" s="84" t="s">
        <v>464</v>
      </c>
      <c r="C150" s="81">
        <f>VLOOKUP("~"&amp;GroupVertices[[#This Row],[Vertex]],Vertices[],MATCH("ID",Vertices[[#Headers],[Vertex]:[Top Word Pairs in Comment by Salience]],0),FALSE)</f>
        <v>280</v>
      </c>
    </row>
    <row r="151" spans="1:3" ht="15">
      <c r="A151" s="82" t="s">
        <v>3382</v>
      </c>
      <c r="B151" s="84" t="s">
        <v>463</v>
      </c>
      <c r="C151" s="81">
        <f>VLOOKUP("~"&amp;GroupVertices[[#This Row],[Vertex]],Vertices[],MATCH("ID",Vertices[[#Headers],[Vertex]:[Top Word Pairs in Comment by Salience]],0),FALSE)</f>
        <v>279</v>
      </c>
    </row>
    <row r="152" spans="1:3" ht="15">
      <c r="A152" s="82" t="s">
        <v>3382</v>
      </c>
      <c r="B152" s="84" t="s">
        <v>462</v>
      </c>
      <c r="C152" s="81">
        <f>VLOOKUP("~"&amp;GroupVertices[[#This Row],[Vertex]],Vertices[],MATCH("ID",Vertices[[#Headers],[Vertex]:[Top Word Pairs in Comment by Salience]],0),FALSE)</f>
        <v>278</v>
      </c>
    </row>
    <row r="153" spans="1:3" ht="15">
      <c r="A153" s="82" t="s">
        <v>3382</v>
      </c>
      <c r="B153" s="84" t="s">
        <v>461</v>
      </c>
      <c r="C153" s="81">
        <f>VLOOKUP("~"&amp;GroupVertices[[#This Row],[Vertex]],Vertices[],MATCH("ID",Vertices[[#Headers],[Vertex]:[Top Word Pairs in Comment by Salience]],0),FALSE)</f>
        <v>277</v>
      </c>
    </row>
    <row r="154" spans="1:3" ht="15">
      <c r="A154" s="82" t="s">
        <v>3382</v>
      </c>
      <c r="B154" s="84" t="s">
        <v>460</v>
      </c>
      <c r="C154" s="81">
        <f>VLOOKUP("~"&amp;GroupVertices[[#This Row],[Vertex]],Vertices[],MATCH("ID",Vertices[[#Headers],[Vertex]:[Top Word Pairs in Comment by Salience]],0),FALSE)</f>
        <v>276</v>
      </c>
    </row>
    <row r="155" spans="1:3" ht="15">
      <c r="A155" s="82" t="s">
        <v>3382</v>
      </c>
      <c r="B155" s="84" t="s">
        <v>459</v>
      </c>
      <c r="C155" s="81">
        <f>VLOOKUP("~"&amp;GroupVertices[[#This Row],[Vertex]],Vertices[],MATCH("ID",Vertices[[#Headers],[Vertex]:[Top Word Pairs in Comment by Salience]],0),FALSE)</f>
        <v>275</v>
      </c>
    </row>
    <row r="156" spans="1:3" ht="15">
      <c r="A156" s="82" t="s">
        <v>3382</v>
      </c>
      <c r="B156" s="84" t="s">
        <v>457</v>
      </c>
      <c r="C156" s="81">
        <f>VLOOKUP("~"&amp;GroupVertices[[#This Row],[Vertex]],Vertices[],MATCH("ID",Vertices[[#Headers],[Vertex]:[Top Word Pairs in Comment by Salience]],0),FALSE)</f>
        <v>274</v>
      </c>
    </row>
    <row r="157" spans="1:3" ht="15">
      <c r="A157" s="82" t="s">
        <v>3382</v>
      </c>
      <c r="B157" s="84" t="s">
        <v>456</v>
      </c>
      <c r="C157" s="81">
        <f>VLOOKUP("~"&amp;GroupVertices[[#This Row],[Vertex]],Vertices[],MATCH("ID",Vertices[[#Headers],[Vertex]:[Top Word Pairs in Comment by Salience]],0),FALSE)</f>
        <v>273</v>
      </c>
    </row>
    <row r="158" spans="1:3" ht="15">
      <c r="A158" s="82" t="s">
        <v>3382</v>
      </c>
      <c r="B158" s="84" t="s">
        <v>455</v>
      </c>
      <c r="C158" s="81">
        <f>VLOOKUP("~"&amp;GroupVertices[[#This Row],[Vertex]],Vertices[],MATCH("ID",Vertices[[#Headers],[Vertex]:[Top Word Pairs in Comment by Salience]],0),FALSE)</f>
        <v>272</v>
      </c>
    </row>
    <row r="159" spans="1:3" ht="15">
      <c r="A159" s="82" t="s">
        <v>3382</v>
      </c>
      <c r="B159" s="84" t="s">
        <v>454</v>
      </c>
      <c r="C159" s="81">
        <f>VLOOKUP("~"&amp;GroupVertices[[#This Row],[Vertex]],Vertices[],MATCH("ID",Vertices[[#Headers],[Vertex]:[Top Word Pairs in Comment by Salience]],0),FALSE)</f>
        <v>271</v>
      </c>
    </row>
    <row r="160" spans="1:3" ht="15">
      <c r="A160" s="82" t="s">
        <v>3382</v>
      </c>
      <c r="B160" s="84" t="s">
        <v>453</v>
      </c>
      <c r="C160" s="81">
        <f>VLOOKUP("~"&amp;GroupVertices[[#This Row],[Vertex]],Vertices[],MATCH("ID",Vertices[[#Headers],[Vertex]:[Top Word Pairs in Comment by Salience]],0),FALSE)</f>
        <v>270</v>
      </c>
    </row>
    <row r="161" spans="1:3" ht="15">
      <c r="A161" s="82" t="s">
        <v>3382</v>
      </c>
      <c r="B161" s="84" t="s">
        <v>452</v>
      </c>
      <c r="C161" s="81">
        <f>VLOOKUP("~"&amp;GroupVertices[[#This Row],[Vertex]],Vertices[],MATCH("ID",Vertices[[#Headers],[Vertex]:[Top Word Pairs in Comment by Salience]],0),FALSE)</f>
        <v>269</v>
      </c>
    </row>
    <row r="162" spans="1:3" ht="15">
      <c r="A162" s="82" t="s">
        <v>3382</v>
      </c>
      <c r="B162" s="84" t="s">
        <v>451</v>
      </c>
      <c r="C162" s="81">
        <f>VLOOKUP("~"&amp;GroupVertices[[#This Row],[Vertex]],Vertices[],MATCH("ID",Vertices[[#Headers],[Vertex]:[Top Word Pairs in Comment by Salience]],0),FALSE)</f>
        <v>268</v>
      </c>
    </row>
    <row r="163" spans="1:3" ht="15">
      <c r="A163" s="82" t="s">
        <v>3382</v>
      </c>
      <c r="B163" s="84" t="s">
        <v>450</v>
      </c>
      <c r="C163" s="81">
        <f>VLOOKUP("~"&amp;GroupVertices[[#This Row],[Vertex]],Vertices[],MATCH("ID",Vertices[[#Headers],[Vertex]:[Top Word Pairs in Comment by Salience]],0),FALSE)</f>
        <v>267</v>
      </c>
    </row>
    <row r="164" spans="1:3" ht="15">
      <c r="A164" s="82" t="s">
        <v>3382</v>
      </c>
      <c r="B164" s="84" t="s">
        <v>449</v>
      </c>
      <c r="C164" s="81">
        <f>VLOOKUP("~"&amp;GroupVertices[[#This Row],[Vertex]],Vertices[],MATCH("ID",Vertices[[#Headers],[Vertex]:[Top Word Pairs in Comment by Salience]],0),FALSE)</f>
        <v>266</v>
      </c>
    </row>
    <row r="165" spans="1:3" ht="15">
      <c r="A165" s="82" t="s">
        <v>3382</v>
      </c>
      <c r="B165" s="84" t="s">
        <v>448</v>
      </c>
      <c r="C165" s="81">
        <f>VLOOKUP("~"&amp;GroupVertices[[#This Row],[Vertex]],Vertices[],MATCH("ID",Vertices[[#Headers],[Vertex]:[Top Word Pairs in Comment by Salience]],0),FALSE)</f>
        <v>265</v>
      </c>
    </row>
    <row r="166" spans="1:3" ht="15">
      <c r="A166" s="82" t="s">
        <v>3382</v>
      </c>
      <c r="B166" s="84" t="s">
        <v>447</v>
      </c>
      <c r="C166" s="81">
        <f>VLOOKUP("~"&amp;GroupVertices[[#This Row],[Vertex]],Vertices[],MATCH("ID",Vertices[[#Headers],[Vertex]:[Top Word Pairs in Comment by Salience]],0),FALSE)</f>
        <v>264</v>
      </c>
    </row>
    <row r="167" spans="1:3" ht="15">
      <c r="A167" s="82" t="s">
        <v>3382</v>
      </c>
      <c r="B167" s="84" t="s">
        <v>446</v>
      </c>
      <c r="C167" s="81">
        <f>VLOOKUP("~"&amp;GroupVertices[[#This Row],[Vertex]],Vertices[],MATCH("ID",Vertices[[#Headers],[Vertex]:[Top Word Pairs in Comment by Salience]],0),FALSE)</f>
        <v>263</v>
      </c>
    </row>
    <row r="168" spans="1:3" ht="15">
      <c r="A168" s="82" t="s">
        <v>3382</v>
      </c>
      <c r="B168" s="84" t="s">
        <v>445</v>
      </c>
      <c r="C168" s="81">
        <f>VLOOKUP("~"&amp;GroupVertices[[#This Row],[Vertex]],Vertices[],MATCH("ID",Vertices[[#Headers],[Vertex]:[Top Word Pairs in Comment by Salience]],0),FALSE)</f>
        <v>262</v>
      </c>
    </row>
    <row r="169" spans="1:3" ht="15">
      <c r="A169" s="82" t="s">
        <v>3382</v>
      </c>
      <c r="B169" s="84" t="s">
        <v>444</v>
      </c>
      <c r="C169" s="81">
        <f>VLOOKUP("~"&amp;GroupVertices[[#This Row],[Vertex]],Vertices[],MATCH("ID",Vertices[[#Headers],[Vertex]:[Top Word Pairs in Comment by Salience]],0),FALSE)</f>
        <v>261</v>
      </c>
    </row>
    <row r="170" spans="1:3" ht="15">
      <c r="A170" s="82" t="s">
        <v>3383</v>
      </c>
      <c r="B170" s="84" t="s">
        <v>897</v>
      </c>
      <c r="C170" s="81">
        <f>VLOOKUP("~"&amp;GroupVertices[[#This Row],[Vertex]],Vertices[],MATCH("ID",Vertices[[#Headers],[Vertex]:[Top Word Pairs in Comment by Salience]],0),FALSE)</f>
        <v>28</v>
      </c>
    </row>
    <row r="171" spans="1:3" ht="15">
      <c r="A171" s="82" t="s">
        <v>3383</v>
      </c>
      <c r="B171" s="84" t="s">
        <v>905</v>
      </c>
      <c r="C171" s="81">
        <f>VLOOKUP("~"&amp;GroupVertices[[#This Row],[Vertex]],Vertices[],MATCH("ID",Vertices[[#Headers],[Vertex]:[Top Word Pairs in Comment by Salience]],0),FALSE)</f>
        <v>6</v>
      </c>
    </row>
    <row r="172" spans="1:3" ht="15">
      <c r="A172" s="82" t="s">
        <v>3383</v>
      </c>
      <c r="B172" s="84" t="s">
        <v>717</v>
      </c>
      <c r="C172" s="81">
        <f>VLOOKUP("~"&amp;GroupVertices[[#This Row],[Vertex]],Vertices[],MATCH("ID",Vertices[[#Headers],[Vertex]:[Top Word Pairs in Comment by Salience]],0),FALSE)</f>
        <v>525</v>
      </c>
    </row>
    <row r="173" spans="1:3" ht="15">
      <c r="A173" s="82" t="s">
        <v>3383</v>
      </c>
      <c r="B173" s="84" t="s">
        <v>716</v>
      </c>
      <c r="C173" s="81">
        <f>VLOOKUP("~"&amp;GroupVertices[[#This Row],[Vertex]],Vertices[],MATCH("ID",Vertices[[#Headers],[Vertex]:[Top Word Pairs in Comment by Salience]],0),FALSE)</f>
        <v>524</v>
      </c>
    </row>
    <row r="174" spans="1:3" ht="15">
      <c r="A174" s="82" t="s">
        <v>3383</v>
      </c>
      <c r="B174" s="84" t="s">
        <v>715</v>
      </c>
      <c r="C174" s="81">
        <f>VLOOKUP("~"&amp;GroupVertices[[#This Row],[Vertex]],Vertices[],MATCH("ID",Vertices[[#Headers],[Vertex]:[Top Word Pairs in Comment by Salience]],0),FALSE)</f>
        <v>523</v>
      </c>
    </row>
    <row r="175" spans="1:3" ht="15">
      <c r="A175" s="82" t="s">
        <v>3383</v>
      </c>
      <c r="B175" s="84" t="s">
        <v>714</v>
      </c>
      <c r="C175" s="81">
        <f>VLOOKUP("~"&amp;GroupVertices[[#This Row],[Vertex]],Vertices[],MATCH("ID",Vertices[[#Headers],[Vertex]:[Top Word Pairs in Comment by Salience]],0),FALSE)</f>
        <v>522</v>
      </c>
    </row>
    <row r="176" spans="1:3" ht="15">
      <c r="A176" s="82" t="s">
        <v>3383</v>
      </c>
      <c r="B176" s="84" t="s">
        <v>713</v>
      </c>
      <c r="C176" s="81">
        <f>VLOOKUP("~"&amp;GroupVertices[[#This Row],[Vertex]],Vertices[],MATCH("ID",Vertices[[#Headers],[Vertex]:[Top Word Pairs in Comment by Salience]],0),FALSE)</f>
        <v>521</v>
      </c>
    </row>
    <row r="177" spans="1:3" ht="15">
      <c r="A177" s="82" t="s">
        <v>3383</v>
      </c>
      <c r="B177" s="84" t="s">
        <v>712</v>
      </c>
      <c r="C177" s="81">
        <f>VLOOKUP("~"&amp;GroupVertices[[#This Row],[Vertex]],Vertices[],MATCH("ID",Vertices[[#Headers],[Vertex]:[Top Word Pairs in Comment by Salience]],0),FALSE)</f>
        <v>520</v>
      </c>
    </row>
    <row r="178" spans="1:3" ht="15">
      <c r="A178" s="82" t="s">
        <v>3383</v>
      </c>
      <c r="B178" s="84" t="s">
        <v>711</v>
      </c>
      <c r="C178" s="81">
        <f>VLOOKUP("~"&amp;GroupVertices[[#This Row],[Vertex]],Vertices[],MATCH("ID",Vertices[[#Headers],[Vertex]:[Top Word Pairs in Comment by Salience]],0),FALSE)</f>
        <v>519</v>
      </c>
    </row>
    <row r="179" spans="1:3" ht="15">
      <c r="A179" s="82" t="s">
        <v>3383</v>
      </c>
      <c r="B179" s="84" t="s">
        <v>710</v>
      </c>
      <c r="C179" s="81">
        <f>VLOOKUP("~"&amp;GroupVertices[[#This Row],[Vertex]],Vertices[],MATCH("ID",Vertices[[#Headers],[Vertex]:[Top Word Pairs in Comment by Salience]],0),FALSE)</f>
        <v>518</v>
      </c>
    </row>
    <row r="180" spans="1:3" ht="15">
      <c r="A180" s="82" t="s">
        <v>3383</v>
      </c>
      <c r="B180" s="84" t="s">
        <v>709</v>
      </c>
      <c r="C180" s="81">
        <f>VLOOKUP("~"&amp;GroupVertices[[#This Row],[Vertex]],Vertices[],MATCH("ID",Vertices[[#Headers],[Vertex]:[Top Word Pairs in Comment by Salience]],0),FALSE)</f>
        <v>517</v>
      </c>
    </row>
    <row r="181" spans="1:3" ht="15">
      <c r="A181" s="82" t="s">
        <v>3383</v>
      </c>
      <c r="B181" s="84" t="s">
        <v>708</v>
      </c>
      <c r="C181" s="81">
        <f>VLOOKUP("~"&amp;GroupVertices[[#This Row],[Vertex]],Vertices[],MATCH("ID",Vertices[[#Headers],[Vertex]:[Top Word Pairs in Comment by Salience]],0),FALSE)</f>
        <v>516</v>
      </c>
    </row>
    <row r="182" spans="1:3" ht="15">
      <c r="A182" s="82" t="s">
        <v>3383</v>
      </c>
      <c r="B182" s="84" t="s">
        <v>707</v>
      </c>
      <c r="C182" s="81">
        <f>VLOOKUP("~"&amp;GroupVertices[[#This Row],[Vertex]],Vertices[],MATCH("ID",Vertices[[#Headers],[Vertex]:[Top Word Pairs in Comment by Salience]],0),FALSE)</f>
        <v>515</v>
      </c>
    </row>
    <row r="183" spans="1:3" ht="15">
      <c r="A183" s="82" t="s">
        <v>3383</v>
      </c>
      <c r="B183" s="84" t="s">
        <v>706</v>
      </c>
      <c r="C183" s="81">
        <f>VLOOKUP("~"&amp;GroupVertices[[#This Row],[Vertex]],Vertices[],MATCH("ID",Vertices[[#Headers],[Vertex]:[Top Word Pairs in Comment by Salience]],0),FALSE)</f>
        <v>514</v>
      </c>
    </row>
    <row r="184" spans="1:3" ht="15">
      <c r="A184" s="82" t="s">
        <v>3383</v>
      </c>
      <c r="B184" s="84" t="s">
        <v>705</v>
      </c>
      <c r="C184" s="81">
        <f>VLOOKUP("~"&amp;GroupVertices[[#This Row],[Vertex]],Vertices[],MATCH("ID",Vertices[[#Headers],[Vertex]:[Top Word Pairs in Comment by Salience]],0),FALSE)</f>
        <v>513</v>
      </c>
    </row>
    <row r="185" spans="1:3" ht="15">
      <c r="A185" s="82" t="s">
        <v>3383</v>
      </c>
      <c r="B185" s="84" t="s">
        <v>704</v>
      </c>
      <c r="C185" s="81">
        <f>VLOOKUP("~"&amp;GroupVertices[[#This Row],[Vertex]],Vertices[],MATCH("ID",Vertices[[#Headers],[Vertex]:[Top Word Pairs in Comment by Salience]],0),FALSE)</f>
        <v>512</v>
      </c>
    </row>
    <row r="186" spans="1:3" ht="15">
      <c r="A186" s="82" t="s">
        <v>3383</v>
      </c>
      <c r="B186" s="84" t="s">
        <v>703</v>
      </c>
      <c r="C186" s="81">
        <f>VLOOKUP("~"&amp;GroupVertices[[#This Row],[Vertex]],Vertices[],MATCH("ID",Vertices[[#Headers],[Vertex]:[Top Word Pairs in Comment by Salience]],0),FALSE)</f>
        <v>511</v>
      </c>
    </row>
    <row r="187" spans="1:3" ht="15">
      <c r="A187" s="82" t="s">
        <v>3383</v>
      </c>
      <c r="B187" s="84" t="s">
        <v>702</v>
      </c>
      <c r="C187" s="81">
        <f>VLOOKUP("~"&amp;GroupVertices[[#This Row],[Vertex]],Vertices[],MATCH("ID",Vertices[[#Headers],[Vertex]:[Top Word Pairs in Comment by Salience]],0),FALSE)</f>
        <v>510</v>
      </c>
    </row>
    <row r="188" spans="1:3" ht="15">
      <c r="A188" s="82" t="s">
        <v>3383</v>
      </c>
      <c r="B188" s="84" t="s">
        <v>701</v>
      </c>
      <c r="C188" s="81">
        <f>VLOOKUP("~"&amp;GroupVertices[[#This Row],[Vertex]],Vertices[],MATCH("ID",Vertices[[#Headers],[Vertex]:[Top Word Pairs in Comment by Salience]],0),FALSE)</f>
        <v>509</v>
      </c>
    </row>
    <row r="189" spans="1:3" ht="15">
      <c r="A189" s="82" t="s">
        <v>3383</v>
      </c>
      <c r="B189" s="84" t="s">
        <v>700</v>
      </c>
      <c r="C189" s="81">
        <f>VLOOKUP("~"&amp;GroupVertices[[#This Row],[Vertex]],Vertices[],MATCH("ID",Vertices[[#Headers],[Vertex]:[Top Word Pairs in Comment by Salience]],0),FALSE)</f>
        <v>508</v>
      </c>
    </row>
    <row r="190" spans="1:3" ht="15">
      <c r="A190" s="82" t="s">
        <v>3383</v>
      </c>
      <c r="B190" s="84" t="s">
        <v>699</v>
      </c>
      <c r="C190" s="81">
        <f>VLOOKUP("~"&amp;GroupVertices[[#This Row],[Vertex]],Vertices[],MATCH("ID",Vertices[[#Headers],[Vertex]:[Top Word Pairs in Comment by Salience]],0),FALSE)</f>
        <v>507</v>
      </c>
    </row>
    <row r="191" spans="1:3" ht="15">
      <c r="A191" s="82" t="s">
        <v>3383</v>
      </c>
      <c r="B191" s="84" t="s">
        <v>698</v>
      </c>
      <c r="C191" s="81">
        <f>VLOOKUP("~"&amp;GroupVertices[[#This Row],[Vertex]],Vertices[],MATCH("ID",Vertices[[#Headers],[Vertex]:[Top Word Pairs in Comment by Salience]],0),FALSE)</f>
        <v>506</v>
      </c>
    </row>
    <row r="192" spans="1:3" ht="15">
      <c r="A192" s="82" t="s">
        <v>3383</v>
      </c>
      <c r="B192" s="84" t="s">
        <v>697</v>
      </c>
      <c r="C192" s="81">
        <f>VLOOKUP("~"&amp;GroupVertices[[#This Row],[Vertex]],Vertices[],MATCH("ID",Vertices[[#Headers],[Vertex]:[Top Word Pairs in Comment by Salience]],0),FALSE)</f>
        <v>505</v>
      </c>
    </row>
    <row r="193" spans="1:3" ht="15">
      <c r="A193" s="82" t="s">
        <v>3383</v>
      </c>
      <c r="B193" s="84" t="s">
        <v>696</v>
      </c>
      <c r="C193" s="81">
        <f>VLOOKUP("~"&amp;GroupVertices[[#This Row],[Vertex]],Vertices[],MATCH("ID",Vertices[[#Headers],[Vertex]:[Top Word Pairs in Comment by Salience]],0),FALSE)</f>
        <v>504</v>
      </c>
    </row>
    <row r="194" spans="1:3" ht="15">
      <c r="A194" s="82" t="s">
        <v>3383</v>
      </c>
      <c r="B194" s="84" t="s">
        <v>695</v>
      </c>
      <c r="C194" s="81">
        <f>VLOOKUP("~"&amp;GroupVertices[[#This Row],[Vertex]],Vertices[],MATCH("ID",Vertices[[#Headers],[Vertex]:[Top Word Pairs in Comment by Salience]],0),FALSE)</f>
        <v>503</v>
      </c>
    </row>
    <row r="195" spans="1:3" ht="15">
      <c r="A195" s="82" t="s">
        <v>3383</v>
      </c>
      <c r="B195" s="84" t="s">
        <v>694</v>
      </c>
      <c r="C195" s="81">
        <f>VLOOKUP("~"&amp;GroupVertices[[#This Row],[Vertex]],Vertices[],MATCH("ID",Vertices[[#Headers],[Vertex]:[Top Word Pairs in Comment by Salience]],0),FALSE)</f>
        <v>502</v>
      </c>
    </row>
    <row r="196" spans="1:3" ht="15">
      <c r="A196" s="82" t="s">
        <v>3383</v>
      </c>
      <c r="B196" s="84" t="s">
        <v>693</v>
      </c>
      <c r="C196" s="81">
        <f>VLOOKUP("~"&amp;GroupVertices[[#This Row],[Vertex]],Vertices[],MATCH("ID",Vertices[[#Headers],[Vertex]:[Top Word Pairs in Comment by Salience]],0),FALSE)</f>
        <v>501</v>
      </c>
    </row>
    <row r="197" spans="1:3" ht="15">
      <c r="A197" s="82" t="s">
        <v>3383</v>
      </c>
      <c r="B197" s="84" t="s">
        <v>692</v>
      </c>
      <c r="C197" s="81">
        <f>VLOOKUP("~"&amp;GroupVertices[[#This Row],[Vertex]],Vertices[],MATCH("ID",Vertices[[#Headers],[Vertex]:[Top Word Pairs in Comment by Salience]],0),FALSE)</f>
        <v>500</v>
      </c>
    </row>
    <row r="198" spans="1:3" ht="15">
      <c r="A198" s="82" t="s">
        <v>3383</v>
      </c>
      <c r="B198" s="84" t="s">
        <v>691</v>
      </c>
      <c r="C198" s="81">
        <f>VLOOKUP("~"&amp;GroupVertices[[#This Row],[Vertex]],Vertices[],MATCH("ID",Vertices[[#Headers],[Vertex]:[Top Word Pairs in Comment by Salience]],0),FALSE)</f>
        <v>499</v>
      </c>
    </row>
    <row r="199" spans="1:3" ht="15">
      <c r="A199" s="82" t="s">
        <v>3383</v>
      </c>
      <c r="B199" s="84" t="s">
        <v>690</v>
      </c>
      <c r="C199" s="81">
        <f>VLOOKUP("~"&amp;GroupVertices[[#This Row],[Vertex]],Vertices[],MATCH("ID",Vertices[[#Headers],[Vertex]:[Top Word Pairs in Comment by Salience]],0),FALSE)</f>
        <v>498</v>
      </c>
    </row>
    <row r="200" spans="1:3" ht="15">
      <c r="A200" s="82" t="s">
        <v>3383</v>
      </c>
      <c r="B200" s="84" t="s">
        <v>689</v>
      </c>
      <c r="C200" s="81">
        <f>VLOOKUP("~"&amp;GroupVertices[[#This Row],[Vertex]],Vertices[],MATCH("ID",Vertices[[#Headers],[Vertex]:[Top Word Pairs in Comment by Salience]],0),FALSE)</f>
        <v>497</v>
      </c>
    </row>
    <row r="201" spans="1:3" ht="15">
      <c r="A201" s="82" t="s">
        <v>3383</v>
      </c>
      <c r="B201" s="84" t="s">
        <v>688</v>
      </c>
      <c r="C201" s="81">
        <f>VLOOKUP("~"&amp;GroupVertices[[#This Row],[Vertex]],Vertices[],MATCH("ID",Vertices[[#Headers],[Vertex]:[Top Word Pairs in Comment by Salience]],0),FALSE)</f>
        <v>496</v>
      </c>
    </row>
    <row r="202" spans="1:3" ht="15">
      <c r="A202" s="82" t="s">
        <v>3383</v>
      </c>
      <c r="B202" s="84" t="s">
        <v>687</v>
      </c>
      <c r="C202" s="81">
        <f>VLOOKUP("~"&amp;GroupVertices[[#This Row],[Vertex]],Vertices[],MATCH("ID",Vertices[[#Headers],[Vertex]:[Top Word Pairs in Comment by Salience]],0),FALSE)</f>
        <v>495</v>
      </c>
    </row>
    <row r="203" spans="1:3" ht="15">
      <c r="A203" s="82" t="s">
        <v>3383</v>
      </c>
      <c r="B203" s="84" t="s">
        <v>686</v>
      </c>
      <c r="C203" s="81">
        <f>VLOOKUP("~"&amp;GroupVertices[[#This Row],[Vertex]],Vertices[],MATCH("ID",Vertices[[#Headers],[Vertex]:[Top Word Pairs in Comment by Salience]],0),FALSE)</f>
        <v>494</v>
      </c>
    </row>
    <row r="204" spans="1:3" ht="15">
      <c r="A204" s="82" t="s">
        <v>3383</v>
      </c>
      <c r="B204" s="84" t="s">
        <v>685</v>
      </c>
      <c r="C204" s="81">
        <f>VLOOKUP("~"&amp;GroupVertices[[#This Row],[Vertex]],Vertices[],MATCH("ID",Vertices[[#Headers],[Vertex]:[Top Word Pairs in Comment by Salience]],0),FALSE)</f>
        <v>493</v>
      </c>
    </row>
    <row r="205" spans="1:3" ht="15">
      <c r="A205" s="82" t="s">
        <v>3383</v>
      </c>
      <c r="B205" s="84" t="s">
        <v>684</v>
      </c>
      <c r="C205" s="81">
        <f>VLOOKUP("~"&amp;GroupVertices[[#This Row],[Vertex]],Vertices[],MATCH("ID",Vertices[[#Headers],[Vertex]:[Top Word Pairs in Comment by Salience]],0),FALSE)</f>
        <v>492</v>
      </c>
    </row>
    <row r="206" spans="1:3" ht="15">
      <c r="A206" s="82" t="s">
        <v>3383</v>
      </c>
      <c r="B206" s="84" t="s">
        <v>682</v>
      </c>
      <c r="C206" s="81">
        <f>VLOOKUP("~"&amp;GroupVertices[[#This Row],[Vertex]],Vertices[],MATCH("ID",Vertices[[#Headers],[Vertex]:[Top Word Pairs in Comment by Salience]],0),FALSE)</f>
        <v>491</v>
      </c>
    </row>
    <row r="207" spans="1:3" ht="15">
      <c r="A207" s="82" t="s">
        <v>3383</v>
      </c>
      <c r="B207" s="84" t="s">
        <v>681</v>
      </c>
      <c r="C207" s="81">
        <f>VLOOKUP("~"&amp;GroupVertices[[#This Row],[Vertex]],Vertices[],MATCH("ID",Vertices[[#Headers],[Vertex]:[Top Word Pairs in Comment by Salience]],0),FALSE)</f>
        <v>490</v>
      </c>
    </row>
    <row r="208" spans="1:3" ht="15">
      <c r="A208" s="82" t="s">
        <v>3383</v>
      </c>
      <c r="B208" s="84" t="s">
        <v>680</v>
      </c>
      <c r="C208" s="81">
        <f>VLOOKUP("~"&amp;GroupVertices[[#This Row],[Vertex]],Vertices[],MATCH("ID",Vertices[[#Headers],[Vertex]:[Top Word Pairs in Comment by Salience]],0),FALSE)</f>
        <v>489</v>
      </c>
    </row>
    <row r="209" spans="1:3" ht="15">
      <c r="A209" s="82" t="s">
        <v>3383</v>
      </c>
      <c r="B209" s="84" t="s">
        <v>679</v>
      </c>
      <c r="C209" s="81">
        <f>VLOOKUP("~"&amp;GroupVertices[[#This Row],[Vertex]],Vertices[],MATCH("ID",Vertices[[#Headers],[Vertex]:[Top Word Pairs in Comment by Salience]],0),FALSE)</f>
        <v>488</v>
      </c>
    </row>
    <row r="210" spans="1:3" ht="15">
      <c r="A210" s="82" t="s">
        <v>3383</v>
      </c>
      <c r="B210" s="84" t="s">
        <v>678</v>
      </c>
      <c r="C210" s="81">
        <f>VLOOKUP("~"&amp;GroupVertices[[#This Row],[Vertex]],Vertices[],MATCH("ID",Vertices[[#Headers],[Vertex]:[Top Word Pairs in Comment by Salience]],0),FALSE)</f>
        <v>487</v>
      </c>
    </row>
    <row r="211" spans="1:3" ht="15">
      <c r="A211" s="82" t="s">
        <v>3383</v>
      </c>
      <c r="B211" s="84" t="s">
        <v>677</v>
      </c>
      <c r="C211" s="81">
        <f>VLOOKUP("~"&amp;GroupVertices[[#This Row],[Vertex]],Vertices[],MATCH("ID",Vertices[[#Headers],[Vertex]:[Top Word Pairs in Comment by Salience]],0),FALSE)</f>
        <v>486</v>
      </c>
    </row>
    <row r="212" spans="1:3" ht="15">
      <c r="A212" s="82" t="s">
        <v>3383</v>
      </c>
      <c r="B212" s="84" t="s">
        <v>676</v>
      </c>
      <c r="C212" s="81">
        <f>VLOOKUP("~"&amp;GroupVertices[[#This Row],[Vertex]],Vertices[],MATCH("ID",Vertices[[#Headers],[Vertex]:[Top Word Pairs in Comment by Salience]],0),FALSE)</f>
        <v>485</v>
      </c>
    </row>
    <row r="213" spans="1:3" ht="15">
      <c r="A213" s="82" t="s">
        <v>3383</v>
      </c>
      <c r="B213" s="84" t="s">
        <v>674</v>
      </c>
      <c r="C213" s="81">
        <f>VLOOKUP("~"&amp;GroupVertices[[#This Row],[Vertex]],Vertices[],MATCH("ID",Vertices[[#Headers],[Vertex]:[Top Word Pairs in Comment by Salience]],0),FALSE)</f>
        <v>484</v>
      </c>
    </row>
    <row r="214" spans="1:3" ht="15">
      <c r="A214" s="82" t="s">
        <v>3383</v>
      </c>
      <c r="B214" s="84" t="s">
        <v>673</v>
      </c>
      <c r="C214" s="81">
        <f>VLOOKUP("~"&amp;GroupVertices[[#This Row],[Vertex]],Vertices[],MATCH("ID",Vertices[[#Headers],[Vertex]:[Top Word Pairs in Comment by Salience]],0),FALSE)</f>
        <v>483</v>
      </c>
    </row>
    <row r="215" spans="1:3" ht="15">
      <c r="A215" s="82" t="s">
        <v>3383</v>
      </c>
      <c r="B215" s="84" t="s">
        <v>672</v>
      </c>
      <c r="C215" s="81">
        <f>VLOOKUP("~"&amp;GroupVertices[[#This Row],[Vertex]],Vertices[],MATCH("ID",Vertices[[#Headers],[Vertex]:[Top Word Pairs in Comment by Salience]],0),FALSE)</f>
        <v>482</v>
      </c>
    </row>
    <row r="216" spans="1:3" ht="15">
      <c r="A216" s="82" t="s">
        <v>3383</v>
      </c>
      <c r="B216" s="84" t="s">
        <v>671</v>
      </c>
      <c r="C216" s="81">
        <f>VLOOKUP("~"&amp;GroupVertices[[#This Row],[Vertex]],Vertices[],MATCH("ID",Vertices[[#Headers],[Vertex]:[Top Word Pairs in Comment by Salience]],0),FALSE)</f>
        <v>481</v>
      </c>
    </row>
    <row r="217" spans="1:3" ht="15">
      <c r="A217" s="82" t="s">
        <v>3383</v>
      </c>
      <c r="B217" s="84" t="s">
        <v>670</v>
      </c>
      <c r="C217" s="81">
        <f>VLOOKUP("~"&amp;GroupVertices[[#This Row],[Vertex]],Vertices[],MATCH("ID",Vertices[[#Headers],[Vertex]:[Top Word Pairs in Comment by Salience]],0),FALSE)</f>
        <v>480</v>
      </c>
    </row>
    <row r="218" spans="1:3" ht="15">
      <c r="A218" s="82" t="s">
        <v>3383</v>
      </c>
      <c r="B218" s="84" t="s">
        <v>669</v>
      </c>
      <c r="C218" s="81">
        <f>VLOOKUP("~"&amp;GroupVertices[[#This Row],[Vertex]],Vertices[],MATCH("ID",Vertices[[#Headers],[Vertex]:[Top Word Pairs in Comment by Salience]],0),FALSE)</f>
        <v>479</v>
      </c>
    </row>
    <row r="219" spans="1:3" ht="15">
      <c r="A219" s="82" t="s">
        <v>3383</v>
      </c>
      <c r="B219" s="84" t="s">
        <v>668</v>
      </c>
      <c r="C219" s="81">
        <f>VLOOKUP("~"&amp;GroupVertices[[#This Row],[Vertex]],Vertices[],MATCH("ID",Vertices[[#Headers],[Vertex]:[Top Word Pairs in Comment by Salience]],0),FALSE)</f>
        <v>478</v>
      </c>
    </row>
    <row r="220" spans="1:3" ht="15">
      <c r="A220" s="82" t="s">
        <v>3383</v>
      </c>
      <c r="B220" s="84" t="s">
        <v>667</v>
      </c>
      <c r="C220" s="81">
        <f>VLOOKUP("~"&amp;GroupVertices[[#This Row],[Vertex]],Vertices[],MATCH("ID",Vertices[[#Headers],[Vertex]:[Top Word Pairs in Comment by Salience]],0),FALSE)</f>
        <v>477</v>
      </c>
    </row>
    <row r="221" spans="1:3" ht="15">
      <c r="A221" s="82" t="s">
        <v>3383</v>
      </c>
      <c r="B221" s="84" t="s">
        <v>666</v>
      </c>
      <c r="C221" s="81">
        <f>VLOOKUP("~"&amp;GroupVertices[[#This Row],[Vertex]],Vertices[],MATCH("ID",Vertices[[#Headers],[Vertex]:[Top Word Pairs in Comment by Salience]],0),FALSE)</f>
        <v>476</v>
      </c>
    </row>
    <row r="222" spans="1:3" ht="15">
      <c r="A222" s="82" t="s">
        <v>3383</v>
      </c>
      <c r="B222" s="84" t="s">
        <v>665</v>
      </c>
      <c r="C222" s="81">
        <f>VLOOKUP("~"&amp;GroupVertices[[#This Row],[Vertex]],Vertices[],MATCH("ID",Vertices[[#Headers],[Vertex]:[Top Word Pairs in Comment by Salience]],0),FALSE)</f>
        <v>475</v>
      </c>
    </row>
    <row r="223" spans="1:3" ht="15">
      <c r="A223" s="82" t="s">
        <v>3383</v>
      </c>
      <c r="B223" s="84" t="s">
        <v>664</v>
      </c>
      <c r="C223" s="81">
        <f>VLOOKUP("~"&amp;GroupVertices[[#This Row],[Vertex]],Vertices[],MATCH("ID",Vertices[[#Headers],[Vertex]:[Top Word Pairs in Comment by Salience]],0),FALSE)</f>
        <v>474</v>
      </c>
    </row>
    <row r="224" spans="1:3" ht="15">
      <c r="A224" s="82" t="s">
        <v>3383</v>
      </c>
      <c r="B224" s="84" t="s">
        <v>663</v>
      </c>
      <c r="C224" s="81">
        <f>VLOOKUP("~"&amp;GroupVertices[[#This Row],[Vertex]],Vertices[],MATCH("ID",Vertices[[#Headers],[Vertex]:[Top Word Pairs in Comment by Salience]],0),FALSE)</f>
        <v>473</v>
      </c>
    </row>
    <row r="225" spans="1:3" ht="15">
      <c r="A225" s="82" t="s">
        <v>3383</v>
      </c>
      <c r="B225" s="84" t="s">
        <v>662</v>
      </c>
      <c r="C225" s="81">
        <f>VLOOKUP("~"&amp;GroupVertices[[#This Row],[Vertex]],Vertices[],MATCH("ID",Vertices[[#Headers],[Vertex]:[Top Word Pairs in Comment by Salience]],0),FALSE)</f>
        <v>472</v>
      </c>
    </row>
    <row r="226" spans="1:3" ht="15">
      <c r="A226" s="82" t="s">
        <v>3383</v>
      </c>
      <c r="B226" s="84" t="s">
        <v>661</v>
      </c>
      <c r="C226" s="81">
        <f>VLOOKUP("~"&amp;GroupVertices[[#This Row],[Vertex]],Vertices[],MATCH("ID",Vertices[[#Headers],[Vertex]:[Top Word Pairs in Comment by Salience]],0),FALSE)</f>
        <v>471</v>
      </c>
    </row>
    <row r="227" spans="1:3" ht="15">
      <c r="A227" s="82" t="s">
        <v>3383</v>
      </c>
      <c r="B227" s="84" t="s">
        <v>660</v>
      </c>
      <c r="C227" s="81">
        <f>VLOOKUP("~"&amp;GroupVertices[[#This Row],[Vertex]],Vertices[],MATCH("ID",Vertices[[#Headers],[Vertex]:[Top Word Pairs in Comment by Salience]],0),FALSE)</f>
        <v>470</v>
      </c>
    </row>
    <row r="228" spans="1:3" ht="15">
      <c r="A228" s="82" t="s">
        <v>3383</v>
      </c>
      <c r="B228" s="84" t="s">
        <v>659</v>
      </c>
      <c r="C228" s="81">
        <f>VLOOKUP("~"&amp;GroupVertices[[#This Row],[Vertex]],Vertices[],MATCH("ID",Vertices[[#Headers],[Vertex]:[Top Word Pairs in Comment by Salience]],0),FALSE)</f>
        <v>469</v>
      </c>
    </row>
    <row r="229" spans="1:3" ht="15">
      <c r="A229" s="82" t="s">
        <v>3383</v>
      </c>
      <c r="B229" s="84" t="s">
        <v>658</v>
      </c>
      <c r="C229" s="81">
        <f>VLOOKUP("~"&amp;GroupVertices[[#This Row],[Vertex]],Vertices[],MATCH("ID",Vertices[[#Headers],[Vertex]:[Top Word Pairs in Comment by Salience]],0),FALSE)</f>
        <v>468</v>
      </c>
    </row>
    <row r="230" spans="1:3" ht="15">
      <c r="A230" s="82" t="s">
        <v>3383</v>
      </c>
      <c r="B230" s="84" t="s">
        <v>657</v>
      </c>
      <c r="C230" s="81">
        <f>VLOOKUP("~"&amp;GroupVertices[[#This Row],[Vertex]],Vertices[],MATCH("ID",Vertices[[#Headers],[Vertex]:[Top Word Pairs in Comment by Salience]],0),FALSE)</f>
        <v>467</v>
      </c>
    </row>
    <row r="231" spans="1:3" ht="15">
      <c r="A231" s="82" t="s">
        <v>3383</v>
      </c>
      <c r="B231" s="84" t="s">
        <v>656</v>
      </c>
      <c r="C231" s="81">
        <f>VLOOKUP("~"&amp;GroupVertices[[#This Row],[Vertex]],Vertices[],MATCH("ID",Vertices[[#Headers],[Vertex]:[Top Word Pairs in Comment by Salience]],0),FALSE)</f>
        <v>466</v>
      </c>
    </row>
    <row r="232" spans="1:3" ht="15">
      <c r="A232" s="82" t="s">
        <v>3383</v>
      </c>
      <c r="B232" s="84" t="s">
        <v>655</v>
      </c>
      <c r="C232" s="81">
        <f>VLOOKUP("~"&amp;GroupVertices[[#This Row],[Vertex]],Vertices[],MATCH("ID",Vertices[[#Headers],[Vertex]:[Top Word Pairs in Comment by Salience]],0),FALSE)</f>
        <v>465</v>
      </c>
    </row>
    <row r="233" spans="1:3" ht="15">
      <c r="A233" s="82" t="s">
        <v>3383</v>
      </c>
      <c r="B233" s="84" t="s">
        <v>654</v>
      </c>
      <c r="C233" s="81">
        <f>VLOOKUP("~"&amp;GroupVertices[[#This Row],[Vertex]],Vertices[],MATCH("ID",Vertices[[#Headers],[Vertex]:[Top Word Pairs in Comment by Salience]],0),FALSE)</f>
        <v>464</v>
      </c>
    </row>
    <row r="234" spans="1:3" ht="15">
      <c r="A234" s="82" t="s">
        <v>3383</v>
      </c>
      <c r="B234" s="84" t="s">
        <v>653</v>
      </c>
      <c r="C234" s="81">
        <f>VLOOKUP("~"&amp;GroupVertices[[#This Row],[Vertex]],Vertices[],MATCH("ID",Vertices[[#Headers],[Vertex]:[Top Word Pairs in Comment by Salience]],0),FALSE)</f>
        <v>463</v>
      </c>
    </row>
    <row r="235" spans="1:3" ht="15">
      <c r="A235" s="82" t="s">
        <v>3383</v>
      </c>
      <c r="B235" s="84" t="s">
        <v>652</v>
      </c>
      <c r="C235" s="81">
        <f>VLOOKUP("~"&amp;GroupVertices[[#This Row],[Vertex]],Vertices[],MATCH("ID",Vertices[[#Headers],[Vertex]:[Top Word Pairs in Comment by Salience]],0),FALSE)</f>
        <v>462</v>
      </c>
    </row>
    <row r="236" spans="1:3" ht="15">
      <c r="A236" s="82" t="s">
        <v>3383</v>
      </c>
      <c r="B236" s="84" t="s">
        <v>651</v>
      </c>
      <c r="C236" s="81">
        <f>VLOOKUP("~"&amp;GroupVertices[[#This Row],[Vertex]],Vertices[],MATCH("ID",Vertices[[#Headers],[Vertex]:[Top Word Pairs in Comment by Salience]],0),FALSE)</f>
        <v>461</v>
      </c>
    </row>
    <row r="237" spans="1:3" ht="15">
      <c r="A237" s="82" t="s">
        <v>3383</v>
      </c>
      <c r="B237" s="84" t="s">
        <v>650</v>
      </c>
      <c r="C237" s="81">
        <f>VLOOKUP("~"&amp;GroupVertices[[#This Row],[Vertex]],Vertices[],MATCH("ID",Vertices[[#Headers],[Vertex]:[Top Word Pairs in Comment by Salience]],0),FALSE)</f>
        <v>460</v>
      </c>
    </row>
    <row r="238" spans="1:3" ht="15">
      <c r="A238" s="82" t="s">
        <v>3383</v>
      </c>
      <c r="B238" s="84" t="s">
        <v>649</v>
      </c>
      <c r="C238" s="81">
        <f>VLOOKUP("~"&amp;GroupVertices[[#This Row],[Vertex]],Vertices[],MATCH("ID",Vertices[[#Headers],[Vertex]:[Top Word Pairs in Comment by Salience]],0),FALSE)</f>
        <v>27</v>
      </c>
    </row>
    <row r="239" spans="1:3" ht="15">
      <c r="A239" s="82" t="s">
        <v>3383</v>
      </c>
      <c r="B239" s="84" t="s">
        <v>648</v>
      </c>
      <c r="C239" s="81">
        <f>VLOOKUP("~"&amp;GroupVertices[[#This Row],[Vertex]],Vertices[],MATCH("ID",Vertices[[#Headers],[Vertex]:[Top Word Pairs in Comment by Salience]],0),FALSE)</f>
        <v>459</v>
      </c>
    </row>
    <row r="240" spans="1:3" ht="15">
      <c r="A240" s="82" t="s">
        <v>3383</v>
      </c>
      <c r="B240" s="84" t="s">
        <v>647</v>
      </c>
      <c r="C240" s="81">
        <f>VLOOKUP("~"&amp;GroupVertices[[#This Row],[Vertex]],Vertices[],MATCH("ID",Vertices[[#Headers],[Vertex]:[Top Word Pairs in Comment by Salience]],0),FALSE)</f>
        <v>458</v>
      </c>
    </row>
    <row r="241" spans="1:3" ht="15">
      <c r="A241" s="82" t="s">
        <v>3383</v>
      </c>
      <c r="B241" s="84" t="s">
        <v>646</v>
      </c>
      <c r="C241" s="81">
        <f>VLOOKUP("~"&amp;GroupVertices[[#This Row],[Vertex]],Vertices[],MATCH("ID",Vertices[[#Headers],[Vertex]:[Top Word Pairs in Comment by Salience]],0),FALSE)</f>
        <v>457</v>
      </c>
    </row>
    <row r="242" spans="1:3" ht="15">
      <c r="A242" s="82" t="s">
        <v>3383</v>
      </c>
      <c r="B242" s="84" t="s">
        <v>645</v>
      </c>
      <c r="C242" s="81">
        <f>VLOOKUP("~"&amp;GroupVertices[[#This Row],[Vertex]],Vertices[],MATCH("ID",Vertices[[#Headers],[Vertex]:[Top Word Pairs in Comment by Salience]],0),FALSE)</f>
        <v>456</v>
      </c>
    </row>
    <row r="243" spans="1:3" ht="15">
      <c r="A243" s="82" t="s">
        <v>3383</v>
      </c>
      <c r="B243" s="84" t="s">
        <v>644</v>
      </c>
      <c r="C243" s="81">
        <f>VLOOKUP("~"&amp;GroupVertices[[#This Row],[Vertex]],Vertices[],MATCH("ID",Vertices[[#Headers],[Vertex]:[Top Word Pairs in Comment by Salience]],0),FALSE)</f>
        <v>455</v>
      </c>
    </row>
    <row r="244" spans="1:3" ht="15">
      <c r="A244" s="82" t="s">
        <v>3383</v>
      </c>
      <c r="B244" s="84" t="s">
        <v>643</v>
      </c>
      <c r="C244" s="81">
        <f>VLOOKUP("~"&amp;GroupVertices[[#This Row],[Vertex]],Vertices[],MATCH("ID",Vertices[[#Headers],[Vertex]:[Top Word Pairs in Comment by Salience]],0),FALSE)</f>
        <v>454</v>
      </c>
    </row>
    <row r="245" spans="1:3" ht="15">
      <c r="A245" s="82" t="s">
        <v>3383</v>
      </c>
      <c r="B245" s="84" t="s">
        <v>642</v>
      </c>
      <c r="C245" s="81">
        <f>VLOOKUP("~"&amp;GroupVertices[[#This Row],[Vertex]],Vertices[],MATCH("ID",Vertices[[#Headers],[Vertex]:[Top Word Pairs in Comment by Salience]],0),FALSE)</f>
        <v>453</v>
      </c>
    </row>
    <row r="246" spans="1:3" ht="15">
      <c r="A246" s="82" t="s">
        <v>3383</v>
      </c>
      <c r="B246" s="84" t="s">
        <v>641</v>
      </c>
      <c r="C246" s="81">
        <f>VLOOKUP("~"&amp;GroupVertices[[#This Row],[Vertex]],Vertices[],MATCH("ID",Vertices[[#Headers],[Vertex]:[Top Word Pairs in Comment by Salience]],0),FALSE)</f>
        <v>452</v>
      </c>
    </row>
    <row r="247" spans="1:3" ht="15">
      <c r="A247" s="82" t="s">
        <v>3383</v>
      </c>
      <c r="B247" s="84" t="s">
        <v>640</v>
      </c>
      <c r="C247" s="81">
        <f>VLOOKUP("~"&amp;GroupVertices[[#This Row],[Vertex]],Vertices[],MATCH("ID",Vertices[[#Headers],[Vertex]:[Top Word Pairs in Comment by Salience]],0),FALSE)</f>
        <v>451</v>
      </c>
    </row>
    <row r="248" spans="1:3" ht="15">
      <c r="A248" s="82" t="s">
        <v>3383</v>
      </c>
      <c r="B248" s="84" t="s">
        <v>639</v>
      </c>
      <c r="C248" s="81">
        <f>VLOOKUP("~"&amp;GroupVertices[[#This Row],[Vertex]],Vertices[],MATCH("ID",Vertices[[#Headers],[Vertex]:[Top Word Pairs in Comment by Salience]],0),FALSE)</f>
        <v>450</v>
      </c>
    </row>
    <row r="249" spans="1:3" ht="15">
      <c r="A249" s="82" t="s">
        <v>3383</v>
      </c>
      <c r="B249" s="84" t="s">
        <v>638</v>
      </c>
      <c r="C249" s="81">
        <f>VLOOKUP("~"&amp;GroupVertices[[#This Row],[Vertex]],Vertices[],MATCH("ID",Vertices[[#Headers],[Vertex]:[Top Word Pairs in Comment by Salience]],0),FALSE)</f>
        <v>449</v>
      </c>
    </row>
    <row r="250" spans="1:3" ht="15">
      <c r="A250" s="82" t="s">
        <v>3383</v>
      </c>
      <c r="B250" s="84" t="s">
        <v>637</v>
      </c>
      <c r="C250" s="81">
        <f>VLOOKUP("~"&amp;GroupVertices[[#This Row],[Vertex]],Vertices[],MATCH("ID",Vertices[[#Headers],[Vertex]:[Top Word Pairs in Comment by Salience]],0),FALSE)</f>
        <v>448</v>
      </c>
    </row>
    <row r="251" spans="1:3" ht="15">
      <c r="A251" s="82" t="s">
        <v>3383</v>
      </c>
      <c r="B251" s="84" t="s">
        <v>636</v>
      </c>
      <c r="C251" s="81">
        <f>VLOOKUP("~"&amp;GroupVertices[[#This Row],[Vertex]],Vertices[],MATCH("ID",Vertices[[#Headers],[Vertex]:[Top Word Pairs in Comment by Salience]],0),FALSE)</f>
        <v>447</v>
      </c>
    </row>
    <row r="252" spans="1:3" ht="15">
      <c r="A252" s="82" t="s">
        <v>3383</v>
      </c>
      <c r="B252" s="84" t="s">
        <v>635</v>
      </c>
      <c r="C252" s="81">
        <f>VLOOKUP("~"&amp;GroupVertices[[#This Row],[Vertex]],Vertices[],MATCH("ID",Vertices[[#Headers],[Vertex]:[Top Word Pairs in Comment by Salience]],0),FALSE)</f>
        <v>446</v>
      </c>
    </row>
    <row r="253" spans="1:3" ht="15">
      <c r="A253" s="82" t="s">
        <v>3383</v>
      </c>
      <c r="B253" s="84" t="s">
        <v>634</v>
      </c>
      <c r="C253" s="81">
        <f>VLOOKUP("~"&amp;GroupVertices[[#This Row],[Vertex]],Vertices[],MATCH("ID",Vertices[[#Headers],[Vertex]:[Top Word Pairs in Comment by Salience]],0),FALSE)</f>
        <v>445</v>
      </c>
    </row>
    <row r="254" spans="1:3" ht="15">
      <c r="A254" s="82" t="s">
        <v>3383</v>
      </c>
      <c r="B254" s="84" t="s">
        <v>633</v>
      </c>
      <c r="C254" s="81">
        <f>VLOOKUP("~"&amp;GroupVertices[[#This Row],[Vertex]],Vertices[],MATCH("ID",Vertices[[#Headers],[Vertex]:[Top Word Pairs in Comment by Salience]],0),FALSE)</f>
        <v>444</v>
      </c>
    </row>
    <row r="255" spans="1:3" ht="15">
      <c r="A255" s="82" t="s">
        <v>3383</v>
      </c>
      <c r="B255" s="84" t="s">
        <v>632</v>
      </c>
      <c r="C255" s="81">
        <f>VLOOKUP("~"&amp;GroupVertices[[#This Row],[Vertex]],Vertices[],MATCH("ID",Vertices[[#Headers],[Vertex]:[Top Word Pairs in Comment by Salience]],0),FALSE)</f>
        <v>443</v>
      </c>
    </row>
    <row r="256" spans="1:3" ht="15">
      <c r="A256" s="82" t="s">
        <v>3383</v>
      </c>
      <c r="B256" s="84" t="s">
        <v>631</v>
      </c>
      <c r="C256" s="81">
        <f>VLOOKUP("~"&amp;GroupVertices[[#This Row],[Vertex]],Vertices[],MATCH("ID",Vertices[[#Headers],[Vertex]:[Top Word Pairs in Comment by Salience]],0),FALSE)</f>
        <v>442</v>
      </c>
    </row>
    <row r="257" spans="1:3" ht="15">
      <c r="A257" s="82" t="s">
        <v>3383</v>
      </c>
      <c r="B257" s="84" t="s">
        <v>630</v>
      </c>
      <c r="C257" s="81">
        <f>VLOOKUP("~"&amp;GroupVertices[[#This Row],[Vertex]],Vertices[],MATCH("ID",Vertices[[#Headers],[Vertex]:[Top Word Pairs in Comment by Salience]],0),FALSE)</f>
        <v>441</v>
      </c>
    </row>
    <row r="258" spans="1:3" ht="15">
      <c r="A258" s="82" t="s">
        <v>3383</v>
      </c>
      <c r="B258" s="84" t="s">
        <v>629</v>
      </c>
      <c r="C258" s="81">
        <f>VLOOKUP("~"&amp;GroupVertices[[#This Row],[Vertex]],Vertices[],MATCH("ID",Vertices[[#Headers],[Vertex]:[Top Word Pairs in Comment by Salience]],0),FALSE)</f>
        <v>440</v>
      </c>
    </row>
    <row r="259" spans="1:3" ht="15">
      <c r="A259" s="82" t="s">
        <v>3383</v>
      </c>
      <c r="B259" s="84" t="s">
        <v>628</v>
      </c>
      <c r="C259" s="81">
        <f>VLOOKUP("~"&amp;GroupVertices[[#This Row],[Vertex]],Vertices[],MATCH("ID",Vertices[[#Headers],[Vertex]:[Top Word Pairs in Comment by Salience]],0),FALSE)</f>
        <v>439</v>
      </c>
    </row>
    <row r="260" spans="1:3" ht="15">
      <c r="A260" s="82" t="s">
        <v>3383</v>
      </c>
      <c r="B260" s="84" t="s">
        <v>627</v>
      </c>
      <c r="C260" s="81">
        <f>VLOOKUP("~"&amp;GroupVertices[[#This Row],[Vertex]],Vertices[],MATCH("ID",Vertices[[#Headers],[Vertex]:[Top Word Pairs in Comment by Salience]],0),FALSE)</f>
        <v>438</v>
      </c>
    </row>
    <row r="261" spans="1:3" ht="15">
      <c r="A261" s="82" t="s">
        <v>3383</v>
      </c>
      <c r="B261" s="84" t="s">
        <v>626</v>
      </c>
      <c r="C261" s="81">
        <f>VLOOKUP("~"&amp;GroupVertices[[#This Row],[Vertex]],Vertices[],MATCH("ID",Vertices[[#Headers],[Vertex]:[Top Word Pairs in Comment by Salience]],0),FALSE)</f>
        <v>437</v>
      </c>
    </row>
    <row r="262" spans="1:3" ht="15">
      <c r="A262" s="82" t="s">
        <v>3383</v>
      </c>
      <c r="B262" s="84" t="s">
        <v>625</v>
      </c>
      <c r="C262" s="81">
        <f>VLOOKUP("~"&amp;GroupVertices[[#This Row],[Vertex]],Vertices[],MATCH("ID",Vertices[[#Headers],[Vertex]:[Top Word Pairs in Comment by Salience]],0),FALSE)</f>
        <v>436</v>
      </c>
    </row>
    <row r="263" spans="1:3" ht="15">
      <c r="A263" s="82" t="s">
        <v>3383</v>
      </c>
      <c r="B263" s="84" t="s">
        <v>624</v>
      </c>
      <c r="C263" s="81">
        <f>VLOOKUP("~"&amp;GroupVertices[[#This Row],[Vertex]],Vertices[],MATCH("ID",Vertices[[#Headers],[Vertex]:[Top Word Pairs in Comment by Salience]],0),FALSE)</f>
        <v>435</v>
      </c>
    </row>
    <row r="264" spans="1:3" ht="15">
      <c r="A264" s="82" t="s">
        <v>3383</v>
      </c>
      <c r="B264" s="84" t="s">
        <v>623</v>
      </c>
      <c r="C264" s="81">
        <f>VLOOKUP("~"&amp;GroupVertices[[#This Row],[Vertex]],Vertices[],MATCH("ID",Vertices[[#Headers],[Vertex]:[Top Word Pairs in Comment by Salience]],0),FALSE)</f>
        <v>434</v>
      </c>
    </row>
    <row r="265" spans="1:3" ht="15">
      <c r="A265" s="82" t="s">
        <v>3383</v>
      </c>
      <c r="B265" s="84" t="s">
        <v>622</v>
      </c>
      <c r="C265" s="81">
        <f>VLOOKUP("~"&amp;GroupVertices[[#This Row],[Vertex]],Vertices[],MATCH("ID",Vertices[[#Headers],[Vertex]:[Top Word Pairs in Comment by Salience]],0),FALSE)</f>
        <v>433</v>
      </c>
    </row>
    <row r="266" spans="1:3" ht="15">
      <c r="A266" s="82" t="s">
        <v>3384</v>
      </c>
      <c r="B266" s="84" t="s">
        <v>618</v>
      </c>
      <c r="C266" s="81">
        <f>VLOOKUP("~"&amp;GroupVertices[[#This Row],[Vertex]],Vertices[],MATCH("ID",Vertices[[#Headers],[Vertex]:[Top Word Pairs in Comment by Salience]],0),FALSE)</f>
        <v>429</v>
      </c>
    </row>
    <row r="267" spans="1:3" ht="15">
      <c r="A267" s="82" t="s">
        <v>3384</v>
      </c>
      <c r="B267" s="84" t="s">
        <v>903</v>
      </c>
      <c r="C267" s="81">
        <f>VLOOKUP("~"&amp;GroupVertices[[#This Row],[Vertex]],Vertices[],MATCH("ID",Vertices[[#Headers],[Vertex]:[Top Word Pairs in Comment by Salience]],0),FALSE)</f>
        <v>7</v>
      </c>
    </row>
    <row r="268" spans="1:3" ht="15">
      <c r="A268" s="82" t="s">
        <v>3384</v>
      </c>
      <c r="B268" s="84" t="s">
        <v>617</v>
      </c>
      <c r="C268" s="81">
        <f>VLOOKUP("~"&amp;GroupVertices[[#This Row],[Vertex]],Vertices[],MATCH("ID",Vertices[[#Headers],[Vertex]:[Top Word Pairs in Comment by Salience]],0),FALSE)</f>
        <v>428</v>
      </c>
    </row>
    <row r="269" spans="1:3" ht="15">
      <c r="A269" s="82" t="s">
        <v>3384</v>
      </c>
      <c r="B269" s="84" t="s">
        <v>616</v>
      </c>
      <c r="C269" s="81">
        <f>VLOOKUP("~"&amp;GroupVertices[[#This Row],[Vertex]],Vertices[],MATCH("ID",Vertices[[#Headers],[Vertex]:[Top Word Pairs in Comment by Salience]],0),FALSE)</f>
        <v>427</v>
      </c>
    </row>
    <row r="270" spans="1:3" ht="15">
      <c r="A270" s="82" t="s">
        <v>3384</v>
      </c>
      <c r="B270" s="84" t="s">
        <v>615</v>
      </c>
      <c r="C270" s="81">
        <f>VLOOKUP("~"&amp;GroupVertices[[#This Row],[Vertex]],Vertices[],MATCH("ID",Vertices[[#Headers],[Vertex]:[Top Word Pairs in Comment by Salience]],0),FALSE)</f>
        <v>426</v>
      </c>
    </row>
    <row r="271" spans="1:3" ht="15">
      <c r="A271" s="82" t="s">
        <v>3384</v>
      </c>
      <c r="B271" s="84" t="s">
        <v>614</v>
      </c>
      <c r="C271" s="81">
        <f>VLOOKUP("~"&amp;GroupVertices[[#This Row],[Vertex]],Vertices[],MATCH("ID",Vertices[[#Headers],[Vertex]:[Top Word Pairs in Comment by Salience]],0),FALSE)</f>
        <v>425</v>
      </c>
    </row>
    <row r="272" spans="1:3" ht="15">
      <c r="A272" s="82" t="s">
        <v>3384</v>
      </c>
      <c r="B272" s="84" t="s">
        <v>613</v>
      </c>
      <c r="C272" s="81">
        <f>VLOOKUP("~"&amp;GroupVertices[[#This Row],[Vertex]],Vertices[],MATCH("ID",Vertices[[#Headers],[Vertex]:[Top Word Pairs in Comment by Salience]],0),FALSE)</f>
        <v>23</v>
      </c>
    </row>
    <row r="273" spans="1:3" ht="15">
      <c r="A273" s="82" t="s">
        <v>3384</v>
      </c>
      <c r="B273" s="84" t="s">
        <v>612</v>
      </c>
      <c r="C273" s="81">
        <f>VLOOKUP("~"&amp;GroupVertices[[#This Row],[Vertex]],Vertices[],MATCH("ID",Vertices[[#Headers],[Vertex]:[Top Word Pairs in Comment by Salience]],0),FALSE)</f>
        <v>424</v>
      </c>
    </row>
    <row r="274" spans="1:3" ht="15">
      <c r="A274" s="82" t="s">
        <v>3384</v>
      </c>
      <c r="B274" s="84" t="s">
        <v>611</v>
      </c>
      <c r="C274" s="81">
        <f>VLOOKUP("~"&amp;GroupVertices[[#This Row],[Vertex]],Vertices[],MATCH("ID",Vertices[[#Headers],[Vertex]:[Top Word Pairs in Comment by Salience]],0),FALSE)</f>
        <v>423</v>
      </c>
    </row>
    <row r="275" spans="1:3" ht="15">
      <c r="A275" s="82" t="s">
        <v>3384</v>
      </c>
      <c r="B275" s="84" t="s">
        <v>610</v>
      </c>
      <c r="C275" s="81">
        <f>VLOOKUP("~"&amp;GroupVertices[[#This Row],[Vertex]],Vertices[],MATCH("ID",Vertices[[#Headers],[Vertex]:[Top Word Pairs in Comment by Salience]],0),FALSE)</f>
        <v>422</v>
      </c>
    </row>
    <row r="276" spans="1:3" ht="15">
      <c r="A276" s="82" t="s">
        <v>3384</v>
      </c>
      <c r="B276" s="84" t="s">
        <v>609</v>
      </c>
      <c r="C276" s="81">
        <f>VLOOKUP("~"&amp;GroupVertices[[#This Row],[Vertex]],Vertices[],MATCH("ID",Vertices[[#Headers],[Vertex]:[Top Word Pairs in Comment by Salience]],0),FALSE)</f>
        <v>421</v>
      </c>
    </row>
    <row r="277" spans="1:3" ht="15">
      <c r="A277" s="82" t="s">
        <v>3384</v>
      </c>
      <c r="B277" s="84" t="s">
        <v>608</v>
      </c>
      <c r="C277" s="81">
        <f>VLOOKUP("~"&amp;GroupVertices[[#This Row],[Vertex]],Vertices[],MATCH("ID",Vertices[[#Headers],[Vertex]:[Top Word Pairs in Comment by Salience]],0),FALSE)</f>
        <v>420</v>
      </c>
    </row>
    <row r="278" spans="1:3" ht="15">
      <c r="A278" s="82" t="s">
        <v>3384</v>
      </c>
      <c r="B278" s="84" t="s">
        <v>607</v>
      </c>
      <c r="C278" s="81">
        <f>VLOOKUP("~"&amp;GroupVertices[[#This Row],[Vertex]],Vertices[],MATCH("ID",Vertices[[#Headers],[Vertex]:[Top Word Pairs in Comment by Salience]],0),FALSE)</f>
        <v>419</v>
      </c>
    </row>
    <row r="279" spans="1:3" ht="15">
      <c r="A279" s="82" t="s">
        <v>3384</v>
      </c>
      <c r="B279" s="84" t="s">
        <v>606</v>
      </c>
      <c r="C279" s="81">
        <f>VLOOKUP("~"&amp;GroupVertices[[#This Row],[Vertex]],Vertices[],MATCH("ID",Vertices[[#Headers],[Vertex]:[Top Word Pairs in Comment by Salience]],0),FALSE)</f>
        <v>418</v>
      </c>
    </row>
    <row r="280" spans="1:3" ht="15">
      <c r="A280" s="82" t="s">
        <v>3384</v>
      </c>
      <c r="B280" s="84" t="s">
        <v>605</v>
      </c>
      <c r="C280" s="81">
        <f>VLOOKUP("~"&amp;GroupVertices[[#This Row],[Vertex]],Vertices[],MATCH("ID",Vertices[[#Headers],[Vertex]:[Top Word Pairs in Comment by Salience]],0),FALSE)</f>
        <v>11</v>
      </c>
    </row>
    <row r="281" spans="1:3" ht="15">
      <c r="A281" s="82" t="s">
        <v>3384</v>
      </c>
      <c r="B281" s="84" t="s">
        <v>604</v>
      </c>
      <c r="C281" s="81">
        <f>VLOOKUP("~"&amp;GroupVertices[[#This Row],[Vertex]],Vertices[],MATCH("ID",Vertices[[#Headers],[Vertex]:[Top Word Pairs in Comment by Salience]],0),FALSE)</f>
        <v>417</v>
      </c>
    </row>
    <row r="282" spans="1:3" ht="15">
      <c r="A282" s="82" t="s">
        <v>3384</v>
      </c>
      <c r="B282" s="84" t="s">
        <v>603</v>
      </c>
      <c r="C282" s="81">
        <f>VLOOKUP("~"&amp;GroupVertices[[#This Row],[Vertex]],Vertices[],MATCH("ID",Vertices[[#Headers],[Vertex]:[Top Word Pairs in Comment by Salience]],0),FALSE)</f>
        <v>416</v>
      </c>
    </row>
    <row r="283" spans="1:3" ht="15">
      <c r="A283" s="82" t="s">
        <v>3384</v>
      </c>
      <c r="B283" s="84" t="s">
        <v>602</v>
      </c>
      <c r="C283" s="81">
        <f>VLOOKUP("~"&amp;GroupVertices[[#This Row],[Vertex]],Vertices[],MATCH("ID",Vertices[[#Headers],[Vertex]:[Top Word Pairs in Comment by Salience]],0),FALSE)</f>
        <v>415</v>
      </c>
    </row>
    <row r="284" spans="1:3" ht="15">
      <c r="A284" s="82" t="s">
        <v>3384</v>
      </c>
      <c r="B284" s="84" t="s">
        <v>601</v>
      </c>
      <c r="C284" s="81">
        <f>VLOOKUP("~"&amp;GroupVertices[[#This Row],[Vertex]],Vertices[],MATCH("ID",Vertices[[#Headers],[Vertex]:[Top Word Pairs in Comment by Salience]],0),FALSE)</f>
        <v>414</v>
      </c>
    </row>
    <row r="285" spans="1:3" ht="15">
      <c r="A285" s="82" t="s">
        <v>3384</v>
      </c>
      <c r="B285" s="84" t="s">
        <v>600</v>
      </c>
      <c r="C285" s="81">
        <f>VLOOKUP("~"&amp;GroupVertices[[#This Row],[Vertex]],Vertices[],MATCH("ID",Vertices[[#Headers],[Vertex]:[Top Word Pairs in Comment by Salience]],0),FALSE)</f>
        <v>413</v>
      </c>
    </row>
    <row r="286" spans="1:3" ht="15">
      <c r="A286" s="82" t="s">
        <v>3384</v>
      </c>
      <c r="B286" s="84" t="s">
        <v>599</v>
      </c>
      <c r="C286" s="81">
        <f>VLOOKUP("~"&amp;GroupVertices[[#This Row],[Vertex]],Vertices[],MATCH("ID",Vertices[[#Headers],[Vertex]:[Top Word Pairs in Comment by Salience]],0),FALSE)</f>
        <v>412</v>
      </c>
    </row>
    <row r="287" spans="1:3" ht="15">
      <c r="A287" s="82" t="s">
        <v>3384</v>
      </c>
      <c r="B287" s="84" t="s">
        <v>598</v>
      </c>
      <c r="C287" s="81">
        <f>VLOOKUP("~"&amp;GroupVertices[[#This Row],[Vertex]],Vertices[],MATCH("ID",Vertices[[#Headers],[Vertex]:[Top Word Pairs in Comment by Salience]],0),FALSE)</f>
        <v>411</v>
      </c>
    </row>
    <row r="288" spans="1:3" ht="15">
      <c r="A288" s="82" t="s">
        <v>3384</v>
      </c>
      <c r="B288" s="84" t="s">
        <v>597</v>
      </c>
      <c r="C288" s="81">
        <f>VLOOKUP("~"&amp;GroupVertices[[#This Row],[Vertex]],Vertices[],MATCH("ID",Vertices[[#Headers],[Vertex]:[Top Word Pairs in Comment by Salience]],0),FALSE)</f>
        <v>410</v>
      </c>
    </row>
    <row r="289" spans="1:3" ht="15">
      <c r="A289" s="82" t="s">
        <v>3384</v>
      </c>
      <c r="B289" s="84" t="s">
        <v>596</v>
      </c>
      <c r="C289" s="81">
        <f>VLOOKUP("~"&amp;GroupVertices[[#This Row],[Vertex]],Vertices[],MATCH("ID",Vertices[[#Headers],[Vertex]:[Top Word Pairs in Comment by Salience]],0),FALSE)</f>
        <v>409</v>
      </c>
    </row>
    <row r="290" spans="1:3" ht="15">
      <c r="A290" s="82" t="s">
        <v>3384</v>
      </c>
      <c r="B290" s="84" t="s">
        <v>595</v>
      </c>
      <c r="C290" s="81">
        <f>VLOOKUP("~"&amp;GroupVertices[[#This Row],[Vertex]],Vertices[],MATCH("ID",Vertices[[#Headers],[Vertex]:[Top Word Pairs in Comment by Salience]],0),FALSE)</f>
        <v>408</v>
      </c>
    </row>
    <row r="291" spans="1:3" ht="15">
      <c r="A291" s="82" t="s">
        <v>3384</v>
      </c>
      <c r="B291" s="84" t="s">
        <v>594</v>
      </c>
      <c r="C291" s="81">
        <f>VLOOKUP("~"&amp;GroupVertices[[#This Row],[Vertex]],Vertices[],MATCH("ID",Vertices[[#Headers],[Vertex]:[Top Word Pairs in Comment by Salience]],0),FALSE)</f>
        <v>407</v>
      </c>
    </row>
    <row r="292" spans="1:3" ht="15">
      <c r="A292" s="82" t="s">
        <v>3384</v>
      </c>
      <c r="B292" s="84" t="s">
        <v>593</v>
      </c>
      <c r="C292" s="81">
        <f>VLOOKUP("~"&amp;GroupVertices[[#This Row],[Vertex]],Vertices[],MATCH("ID",Vertices[[#Headers],[Vertex]:[Top Word Pairs in Comment by Salience]],0),FALSE)</f>
        <v>406</v>
      </c>
    </row>
    <row r="293" spans="1:3" ht="15">
      <c r="A293" s="82" t="s">
        <v>3384</v>
      </c>
      <c r="B293" s="84" t="s">
        <v>592</v>
      </c>
      <c r="C293" s="81">
        <f>VLOOKUP("~"&amp;GroupVertices[[#This Row],[Vertex]],Vertices[],MATCH("ID",Vertices[[#Headers],[Vertex]:[Top Word Pairs in Comment by Salience]],0),FALSE)</f>
        <v>405</v>
      </c>
    </row>
    <row r="294" spans="1:3" ht="15">
      <c r="A294" s="82" t="s">
        <v>3384</v>
      </c>
      <c r="B294" s="84" t="s">
        <v>591</v>
      </c>
      <c r="C294" s="81">
        <f>VLOOKUP("~"&amp;GroupVertices[[#This Row],[Vertex]],Vertices[],MATCH("ID",Vertices[[#Headers],[Vertex]:[Top Word Pairs in Comment by Salience]],0),FALSE)</f>
        <v>404</v>
      </c>
    </row>
    <row r="295" spans="1:3" ht="15">
      <c r="A295" s="82" t="s">
        <v>3384</v>
      </c>
      <c r="B295" s="84" t="s">
        <v>590</v>
      </c>
      <c r="C295" s="81">
        <f>VLOOKUP("~"&amp;GroupVertices[[#This Row],[Vertex]],Vertices[],MATCH("ID",Vertices[[#Headers],[Vertex]:[Top Word Pairs in Comment by Salience]],0),FALSE)</f>
        <v>403</v>
      </c>
    </row>
    <row r="296" spans="1:3" ht="15">
      <c r="A296" s="82" t="s">
        <v>3384</v>
      </c>
      <c r="B296" s="84" t="s">
        <v>589</v>
      </c>
      <c r="C296" s="81">
        <f>VLOOKUP("~"&amp;GroupVertices[[#This Row],[Vertex]],Vertices[],MATCH("ID",Vertices[[#Headers],[Vertex]:[Top Word Pairs in Comment by Salience]],0),FALSE)</f>
        <v>402</v>
      </c>
    </row>
    <row r="297" spans="1:3" ht="15">
      <c r="A297" s="82" t="s">
        <v>3384</v>
      </c>
      <c r="B297" s="84" t="s">
        <v>588</v>
      </c>
      <c r="C297" s="81">
        <f>VLOOKUP("~"&amp;GroupVertices[[#This Row],[Vertex]],Vertices[],MATCH("ID",Vertices[[#Headers],[Vertex]:[Top Word Pairs in Comment by Salience]],0),FALSE)</f>
        <v>401</v>
      </c>
    </row>
    <row r="298" spans="1:3" ht="15">
      <c r="A298" s="82" t="s">
        <v>3384</v>
      </c>
      <c r="B298" s="84" t="s">
        <v>587</v>
      </c>
      <c r="C298" s="81">
        <f>VLOOKUP("~"&amp;GroupVertices[[#This Row],[Vertex]],Vertices[],MATCH("ID",Vertices[[#Headers],[Vertex]:[Top Word Pairs in Comment by Salience]],0),FALSE)</f>
        <v>400</v>
      </c>
    </row>
    <row r="299" spans="1:3" ht="15">
      <c r="A299" s="82" t="s">
        <v>3384</v>
      </c>
      <c r="B299" s="84" t="s">
        <v>586</v>
      </c>
      <c r="C299" s="81">
        <f>VLOOKUP("~"&amp;GroupVertices[[#This Row],[Vertex]],Vertices[],MATCH("ID",Vertices[[#Headers],[Vertex]:[Top Word Pairs in Comment by Salience]],0),FALSE)</f>
        <v>399</v>
      </c>
    </row>
    <row r="300" spans="1:3" ht="15">
      <c r="A300" s="82" t="s">
        <v>3384</v>
      </c>
      <c r="B300" s="84" t="s">
        <v>585</v>
      </c>
      <c r="C300" s="81">
        <f>VLOOKUP("~"&amp;GroupVertices[[#This Row],[Vertex]],Vertices[],MATCH("ID",Vertices[[#Headers],[Vertex]:[Top Word Pairs in Comment by Salience]],0),FALSE)</f>
        <v>398</v>
      </c>
    </row>
    <row r="301" spans="1:3" ht="15">
      <c r="A301" s="82" t="s">
        <v>3384</v>
      </c>
      <c r="B301" s="84" t="s">
        <v>584</v>
      </c>
      <c r="C301" s="81">
        <f>VLOOKUP("~"&amp;GroupVertices[[#This Row],[Vertex]],Vertices[],MATCH("ID",Vertices[[#Headers],[Vertex]:[Top Word Pairs in Comment by Salience]],0),FALSE)</f>
        <v>397</v>
      </c>
    </row>
    <row r="302" spans="1:3" ht="15">
      <c r="A302" s="82" t="s">
        <v>3384</v>
      </c>
      <c r="B302" s="84" t="s">
        <v>583</v>
      </c>
      <c r="C302" s="81">
        <f>VLOOKUP("~"&amp;GroupVertices[[#This Row],[Vertex]],Vertices[],MATCH("ID",Vertices[[#Headers],[Vertex]:[Top Word Pairs in Comment by Salience]],0),FALSE)</f>
        <v>396</v>
      </c>
    </row>
    <row r="303" spans="1:3" ht="15">
      <c r="A303" s="82" t="s">
        <v>3384</v>
      </c>
      <c r="B303" s="84" t="s">
        <v>582</v>
      </c>
      <c r="C303" s="81">
        <f>VLOOKUP("~"&amp;GroupVertices[[#This Row],[Vertex]],Vertices[],MATCH("ID",Vertices[[#Headers],[Vertex]:[Top Word Pairs in Comment by Salience]],0),FALSE)</f>
        <v>395</v>
      </c>
    </row>
    <row r="304" spans="1:3" ht="15">
      <c r="A304" s="82" t="s">
        <v>3384</v>
      </c>
      <c r="B304" s="84" t="s">
        <v>581</v>
      </c>
      <c r="C304" s="81">
        <f>VLOOKUP("~"&amp;GroupVertices[[#This Row],[Vertex]],Vertices[],MATCH("ID",Vertices[[#Headers],[Vertex]:[Top Word Pairs in Comment by Salience]],0),FALSE)</f>
        <v>394</v>
      </c>
    </row>
    <row r="305" spans="1:3" ht="15">
      <c r="A305" s="82" t="s">
        <v>3384</v>
      </c>
      <c r="B305" s="84" t="s">
        <v>580</v>
      </c>
      <c r="C305" s="81">
        <f>VLOOKUP("~"&amp;GroupVertices[[#This Row],[Vertex]],Vertices[],MATCH("ID",Vertices[[#Headers],[Vertex]:[Top Word Pairs in Comment by Salience]],0),FALSE)</f>
        <v>393</v>
      </c>
    </row>
    <row r="306" spans="1:3" ht="15">
      <c r="A306" s="82" t="s">
        <v>3384</v>
      </c>
      <c r="B306" s="84" t="s">
        <v>579</v>
      </c>
      <c r="C306" s="81">
        <f>VLOOKUP("~"&amp;GroupVertices[[#This Row],[Vertex]],Vertices[],MATCH("ID",Vertices[[#Headers],[Vertex]:[Top Word Pairs in Comment by Salience]],0),FALSE)</f>
        <v>392</v>
      </c>
    </row>
    <row r="307" spans="1:3" ht="15">
      <c r="A307" s="82" t="s">
        <v>3384</v>
      </c>
      <c r="B307" s="84" t="s">
        <v>578</v>
      </c>
      <c r="C307" s="81">
        <f>VLOOKUP("~"&amp;GroupVertices[[#This Row],[Vertex]],Vertices[],MATCH("ID",Vertices[[#Headers],[Vertex]:[Top Word Pairs in Comment by Salience]],0),FALSE)</f>
        <v>391</v>
      </c>
    </row>
    <row r="308" spans="1:3" ht="15">
      <c r="A308" s="82" t="s">
        <v>3384</v>
      </c>
      <c r="B308" s="84" t="s">
        <v>577</v>
      </c>
      <c r="C308" s="81">
        <f>VLOOKUP("~"&amp;GroupVertices[[#This Row],[Vertex]],Vertices[],MATCH("ID",Vertices[[#Headers],[Vertex]:[Top Word Pairs in Comment by Salience]],0),FALSE)</f>
        <v>390</v>
      </c>
    </row>
    <row r="309" spans="1:3" ht="15">
      <c r="A309" s="82" t="s">
        <v>3384</v>
      </c>
      <c r="B309" s="84" t="s">
        <v>576</v>
      </c>
      <c r="C309" s="81">
        <f>VLOOKUP("~"&amp;GroupVertices[[#This Row],[Vertex]],Vertices[],MATCH("ID",Vertices[[#Headers],[Vertex]:[Top Word Pairs in Comment by Salience]],0),FALSE)</f>
        <v>389</v>
      </c>
    </row>
    <row r="310" spans="1:3" ht="15">
      <c r="A310" s="82" t="s">
        <v>3384</v>
      </c>
      <c r="B310" s="84" t="s">
        <v>575</v>
      </c>
      <c r="C310" s="81">
        <f>VLOOKUP("~"&amp;GroupVertices[[#This Row],[Vertex]],Vertices[],MATCH("ID",Vertices[[#Headers],[Vertex]:[Top Word Pairs in Comment by Salience]],0),FALSE)</f>
        <v>388</v>
      </c>
    </row>
    <row r="311" spans="1:3" ht="15">
      <c r="A311" s="82" t="s">
        <v>3384</v>
      </c>
      <c r="B311" s="84" t="s">
        <v>574</v>
      </c>
      <c r="C311" s="81">
        <f>VLOOKUP("~"&amp;GroupVertices[[#This Row],[Vertex]],Vertices[],MATCH("ID",Vertices[[#Headers],[Vertex]:[Top Word Pairs in Comment by Salience]],0),FALSE)</f>
        <v>387</v>
      </c>
    </row>
    <row r="312" spans="1:3" ht="15">
      <c r="A312" s="82" t="s">
        <v>3384</v>
      </c>
      <c r="B312" s="84" t="s">
        <v>573</v>
      </c>
      <c r="C312" s="81">
        <f>VLOOKUP("~"&amp;GroupVertices[[#This Row],[Vertex]],Vertices[],MATCH("ID",Vertices[[#Headers],[Vertex]:[Top Word Pairs in Comment by Salience]],0),FALSE)</f>
        <v>386</v>
      </c>
    </row>
    <row r="313" spans="1:3" ht="15">
      <c r="A313" s="82" t="s">
        <v>3384</v>
      </c>
      <c r="B313" s="84" t="s">
        <v>572</v>
      </c>
      <c r="C313" s="81">
        <f>VLOOKUP("~"&amp;GroupVertices[[#This Row],[Vertex]],Vertices[],MATCH("ID",Vertices[[#Headers],[Vertex]:[Top Word Pairs in Comment by Salience]],0),FALSE)</f>
        <v>385</v>
      </c>
    </row>
    <row r="314" spans="1:3" ht="15">
      <c r="A314" s="82" t="s">
        <v>3384</v>
      </c>
      <c r="B314" s="84" t="s">
        <v>571</v>
      </c>
      <c r="C314" s="81">
        <f>VLOOKUP("~"&amp;GroupVertices[[#This Row],[Vertex]],Vertices[],MATCH("ID",Vertices[[#Headers],[Vertex]:[Top Word Pairs in Comment by Salience]],0),FALSE)</f>
        <v>384</v>
      </c>
    </row>
    <row r="315" spans="1:3" ht="15">
      <c r="A315" s="82" t="s">
        <v>3384</v>
      </c>
      <c r="B315" s="84" t="s">
        <v>570</v>
      </c>
      <c r="C315" s="81">
        <f>VLOOKUP("~"&amp;GroupVertices[[#This Row],[Vertex]],Vertices[],MATCH("ID",Vertices[[#Headers],[Vertex]:[Top Word Pairs in Comment by Salience]],0),FALSE)</f>
        <v>383</v>
      </c>
    </row>
    <row r="316" spans="1:3" ht="15">
      <c r="A316" s="82" t="s">
        <v>3384</v>
      </c>
      <c r="B316" s="84" t="s">
        <v>569</v>
      </c>
      <c r="C316" s="81">
        <f>VLOOKUP("~"&amp;GroupVertices[[#This Row],[Vertex]],Vertices[],MATCH("ID",Vertices[[#Headers],[Vertex]:[Top Word Pairs in Comment by Salience]],0),FALSE)</f>
        <v>382</v>
      </c>
    </row>
    <row r="317" spans="1:3" ht="15">
      <c r="A317" s="82" t="s">
        <v>3384</v>
      </c>
      <c r="B317" s="84" t="s">
        <v>568</v>
      </c>
      <c r="C317" s="81">
        <f>VLOOKUP("~"&amp;GroupVertices[[#This Row],[Vertex]],Vertices[],MATCH("ID",Vertices[[#Headers],[Vertex]:[Top Word Pairs in Comment by Salience]],0),FALSE)</f>
        <v>381</v>
      </c>
    </row>
    <row r="318" spans="1:3" ht="15">
      <c r="A318" s="82" t="s">
        <v>3384</v>
      </c>
      <c r="B318" s="84" t="s">
        <v>567</v>
      </c>
      <c r="C318" s="81">
        <f>VLOOKUP("~"&amp;GroupVertices[[#This Row],[Vertex]],Vertices[],MATCH("ID",Vertices[[#Headers],[Vertex]:[Top Word Pairs in Comment by Salience]],0),FALSE)</f>
        <v>380</v>
      </c>
    </row>
    <row r="319" spans="1:3" ht="15">
      <c r="A319" s="82" t="s">
        <v>3384</v>
      </c>
      <c r="B319" s="84" t="s">
        <v>566</v>
      </c>
      <c r="C319" s="81">
        <f>VLOOKUP("~"&amp;GroupVertices[[#This Row],[Vertex]],Vertices[],MATCH("ID",Vertices[[#Headers],[Vertex]:[Top Word Pairs in Comment by Salience]],0),FALSE)</f>
        <v>379</v>
      </c>
    </row>
    <row r="320" spans="1:3" ht="15">
      <c r="A320" s="82" t="s">
        <v>3384</v>
      </c>
      <c r="B320" s="84" t="s">
        <v>565</v>
      </c>
      <c r="C320" s="81">
        <f>VLOOKUP("~"&amp;GroupVertices[[#This Row],[Vertex]],Vertices[],MATCH("ID",Vertices[[#Headers],[Vertex]:[Top Word Pairs in Comment by Salience]],0),FALSE)</f>
        <v>378</v>
      </c>
    </row>
    <row r="321" spans="1:3" ht="15">
      <c r="A321" s="82" t="s">
        <v>3384</v>
      </c>
      <c r="B321" s="84" t="s">
        <v>564</v>
      </c>
      <c r="C321" s="81">
        <f>VLOOKUP("~"&amp;GroupVertices[[#This Row],[Vertex]],Vertices[],MATCH("ID",Vertices[[#Headers],[Vertex]:[Top Word Pairs in Comment by Salience]],0),FALSE)</f>
        <v>377</v>
      </c>
    </row>
    <row r="322" spans="1:3" ht="15">
      <c r="A322" s="82" t="s">
        <v>3384</v>
      </c>
      <c r="B322" s="84" t="s">
        <v>563</v>
      </c>
      <c r="C322" s="81">
        <f>VLOOKUP("~"&amp;GroupVertices[[#This Row],[Vertex]],Vertices[],MATCH("ID",Vertices[[#Headers],[Vertex]:[Top Word Pairs in Comment by Salience]],0),FALSE)</f>
        <v>376</v>
      </c>
    </row>
    <row r="323" spans="1:3" ht="15">
      <c r="A323" s="82" t="s">
        <v>3384</v>
      </c>
      <c r="B323" s="84" t="s">
        <v>562</v>
      </c>
      <c r="C323" s="81">
        <f>VLOOKUP("~"&amp;GroupVertices[[#This Row],[Vertex]],Vertices[],MATCH("ID",Vertices[[#Headers],[Vertex]:[Top Word Pairs in Comment by Salience]],0),FALSE)</f>
        <v>375</v>
      </c>
    </row>
    <row r="324" spans="1:3" ht="15">
      <c r="A324" s="82" t="s">
        <v>3384</v>
      </c>
      <c r="B324" s="84" t="s">
        <v>561</v>
      </c>
      <c r="C324" s="81">
        <f>VLOOKUP("~"&amp;GroupVertices[[#This Row],[Vertex]],Vertices[],MATCH("ID",Vertices[[#Headers],[Vertex]:[Top Word Pairs in Comment by Salience]],0),FALSE)</f>
        <v>374</v>
      </c>
    </row>
    <row r="325" spans="1:3" ht="15">
      <c r="A325" s="82" t="s">
        <v>3384</v>
      </c>
      <c r="B325" s="84" t="s">
        <v>560</v>
      </c>
      <c r="C325" s="81">
        <f>VLOOKUP("~"&amp;GroupVertices[[#This Row],[Vertex]],Vertices[],MATCH("ID",Vertices[[#Headers],[Vertex]:[Top Word Pairs in Comment by Salience]],0),FALSE)</f>
        <v>373</v>
      </c>
    </row>
    <row r="326" spans="1:3" ht="15">
      <c r="A326" s="82" t="s">
        <v>3384</v>
      </c>
      <c r="B326" s="84" t="s">
        <v>558</v>
      </c>
      <c r="C326" s="81">
        <f>VLOOKUP("~"&amp;GroupVertices[[#This Row],[Vertex]],Vertices[],MATCH("ID",Vertices[[#Headers],[Vertex]:[Top Word Pairs in Comment by Salience]],0),FALSE)</f>
        <v>372</v>
      </c>
    </row>
    <row r="327" spans="1:3" ht="15">
      <c r="A327" s="82" t="s">
        <v>3384</v>
      </c>
      <c r="B327" s="84" t="s">
        <v>557</v>
      </c>
      <c r="C327" s="81">
        <f>VLOOKUP("~"&amp;GroupVertices[[#This Row],[Vertex]],Vertices[],MATCH("ID",Vertices[[#Headers],[Vertex]:[Top Word Pairs in Comment by Salience]],0),FALSE)</f>
        <v>371</v>
      </c>
    </row>
    <row r="328" spans="1:3" ht="15">
      <c r="A328" s="82" t="s">
        <v>3384</v>
      </c>
      <c r="B328" s="84" t="s">
        <v>556</v>
      </c>
      <c r="C328" s="81">
        <f>VLOOKUP("~"&amp;GroupVertices[[#This Row],[Vertex]],Vertices[],MATCH("ID",Vertices[[#Headers],[Vertex]:[Top Word Pairs in Comment by Salience]],0),FALSE)</f>
        <v>370</v>
      </c>
    </row>
    <row r="329" spans="1:3" ht="15">
      <c r="A329" s="82" t="s">
        <v>3384</v>
      </c>
      <c r="B329" s="84" t="s">
        <v>555</v>
      </c>
      <c r="C329" s="81">
        <f>VLOOKUP("~"&amp;GroupVertices[[#This Row],[Vertex]],Vertices[],MATCH("ID",Vertices[[#Headers],[Vertex]:[Top Word Pairs in Comment by Salience]],0),FALSE)</f>
        <v>369</v>
      </c>
    </row>
    <row r="330" spans="1:3" ht="15">
      <c r="A330" s="82" t="s">
        <v>3384</v>
      </c>
      <c r="B330" s="84" t="s">
        <v>554</v>
      </c>
      <c r="C330" s="81">
        <f>VLOOKUP("~"&amp;GroupVertices[[#This Row],[Vertex]],Vertices[],MATCH("ID",Vertices[[#Headers],[Vertex]:[Top Word Pairs in Comment by Salience]],0),FALSE)</f>
        <v>368</v>
      </c>
    </row>
    <row r="331" spans="1:3" ht="15">
      <c r="A331" s="82" t="s">
        <v>3384</v>
      </c>
      <c r="B331" s="84" t="s">
        <v>553</v>
      </c>
      <c r="C331" s="81">
        <f>VLOOKUP("~"&amp;GroupVertices[[#This Row],[Vertex]],Vertices[],MATCH("ID",Vertices[[#Headers],[Vertex]:[Top Word Pairs in Comment by Salience]],0),FALSE)</f>
        <v>367</v>
      </c>
    </row>
    <row r="332" spans="1:3" ht="15">
      <c r="A332" s="82" t="s">
        <v>3384</v>
      </c>
      <c r="B332" s="84" t="s">
        <v>552</v>
      </c>
      <c r="C332" s="81">
        <f>VLOOKUP("~"&amp;GroupVertices[[#This Row],[Vertex]],Vertices[],MATCH("ID",Vertices[[#Headers],[Vertex]:[Top Word Pairs in Comment by Salience]],0),FALSE)</f>
        <v>366</v>
      </c>
    </row>
    <row r="333" spans="1:3" ht="15">
      <c r="A333" s="82" t="s">
        <v>3384</v>
      </c>
      <c r="B333" s="84" t="s">
        <v>551</v>
      </c>
      <c r="C333" s="81">
        <f>VLOOKUP("~"&amp;GroupVertices[[#This Row],[Vertex]],Vertices[],MATCH("ID",Vertices[[#Headers],[Vertex]:[Top Word Pairs in Comment by Salience]],0),FALSE)</f>
        <v>365</v>
      </c>
    </row>
    <row r="334" spans="1:3" ht="15">
      <c r="A334" s="82" t="s">
        <v>3384</v>
      </c>
      <c r="B334" s="84" t="s">
        <v>550</v>
      </c>
      <c r="C334" s="81">
        <f>VLOOKUP("~"&amp;GroupVertices[[#This Row],[Vertex]],Vertices[],MATCH("ID",Vertices[[#Headers],[Vertex]:[Top Word Pairs in Comment by Salience]],0),FALSE)</f>
        <v>364</v>
      </c>
    </row>
    <row r="335" spans="1:3" ht="15">
      <c r="A335" s="82" t="s">
        <v>3384</v>
      </c>
      <c r="B335" s="84" t="s">
        <v>549</v>
      </c>
      <c r="C335" s="81">
        <f>VLOOKUP("~"&amp;GroupVertices[[#This Row],[Vertex]],Vertices[],MATCH("ID",Vertices[[#Headers],[Vertex]:[Top Word Pairs in Comment by Salience]],0),FALSE)</f>
        <v>363</v>
      </c>
    </row>
    <row r="336" spans="1:3" ht="15">
      <c r="A336" s="82" t="s">
        <v>3384</v>
      </c>
      <c r="B336" s="84" t="s">
        <v>548</v>
      </c>
      <c r="C336" s="81">
        <f>VLOOKUP("~"&amp;GroupVertices[[#This Row],[Vertex]],Vertices[],MATCH("ID",Vertices[[#Headers],[Vertex]:[Top Word Pairs in Comment by Salience]],0),FALSE)</f>
        <v>362</v>
      </c>
    </row>
    <row r="337" spans="1:3" ht="15">
      <c r="A337" s="82" t="s">
        <v>3384</v>
      </c>
      <c r="B337" s="84" t="s">
        <v>547</v>
      </c>
      <c r="C337" s="81">
        <f>VLOOKUP("~"&amp;GroupVertices[[#This Row],[Vertex]],Vertices[],MATCH("ID",Vertices[[#Headers],[Vertex]:[Top Word Pairs in Comment by Salience]],0),FALSE)</f>
        <v>361</v>
      </c>
    </row>
    <row r="338" spans="1:3" ht="15">
      <c r="A338" s="82" t="s">
        <v>3384</v>
      </c>
      <c r="B338" s="84" t="s">
        <v>546</v>
      </c>
      <c r="C338" s="81">
        <f>VLOOKUP("~"&amp;GroupVertices[[#This Row],[Vertex]],Vertices[],MATCH("ID",Vertices[[#Headers],[Vertex]:[Top Word Pairs in Comment by Salience]],0),FALSE)</f>
        <v>360</v>
      </c>
    </row>
    <row r="339" spans="1:3" ht="15">
      <c r="A339" s="82" t="s">
        <v>3384</v>
      </c>
      <c r="B339" s="84" t="s">
        <v>545</v>
      </c>
      <c r="C339" s="81">
        <f>VLOOKUP("~"&amp;GroupVertices[[#This Row],[Vertex]],Vertices[],MATCH("ID",Vertices[[#Headers],[Vertex]:[Top Word Pairs in Comment by Salience]],0),FALSE)</f>
        <v>359</v>
      </c>
    </row>
    <row r="340" spans="1:3" ht="15">
      <c r="A340" s="82" t="s">
        <v>3384</v>
      </c>
      <c r="B340" s="84" t="s">
        <v>544</v>
      </c>
      <c r="C340" s="81">
        <f>VLOOKUP("~"&amp;GroupVertices[[#This Row],[Vertex]],Vertices[],MATCH("ID",Vertices[[#Headers],[Vertex]:[Top Word Pairs in Comment by Salience]],0),FALSE)</f>
        <v>358</v>
      </c>
    </row>
    <row r="341" spans="1:3" ht="15">
      <c r="A341" s="82" t="s">
        <v>3384</v>
      </c>
      <c r="B341" s="84" t="s">
        <v>543</v>
      </c>
      <c r="C341" s="81">
        <f>VLOOKUP("~"&amp;GroupVertices[[#This Row],[Vertex]],Vertices[],MATCH("ID",Vertices[[#Headers],[Vertex]:[Top Word Pairs in Comment by Salience]],0),FALSE)</f>
        <v>357</v>
      </c>
    </row>
    <row r="342" spans="1:3" ht="15">
      <c r="A342" s="82" t="s">
        <v>3384</v>
      </c>
      <c r="B342" s="84" t="s">
        <v>542</v>
      </c>
      <c r="C342" s="81">
        <f>VLOOKUP("~"&amp;GroupVertices[[#This Row],[Vertex]],Vertices[],MATCH("ID",Vertices[[#Headers],[Vertex]:[Top Word Pairs in Comment by Salience]],0),FALSE)</f>
        <v>356</v>
      </c>
    </row>
    <row r="343" spans="1:3" ht="15">
      <c r="A343" s="82" t="s">
        <v>3384</v>
      </c>
      <c r="B343" s="84" t="s">
        <v>541</v>
      </c>
      <c r="C343" s="81">
        <f>VLOOKUP("~"&amp;GroupVertices[[#This Row],[Vertex]],Vertices[],MATCH("ID",Vertices[[#Headers],[Vertex]:[Top Word Pairs in Comment by Salience]],0),FALSE)</f>
        <v>355</v>
      </c>
    </row>
    <row r="344" spans="1:3" ht="15">
      <c r="A344" s="82" t="s">
        <v>3384</v>
      </c>
      <c r="B344" s="84" t="s">
        <v>540</v>
      </c>
      <c r="C344" s="81">
        <f>VLOOKUP("~"&amp;GroupVertices[[#This Row],[Vertex]],Vertices[],MATCH("ID",Vertices[[#Headers],[Vertex]:[Top Word Pairs in Comment by Salience]],0),FALSE)</f>
        <v>354</v>
      </c>
    </row>
    <row r="345" spans="1:3" ht="15">
      <c r="A345" s="82" t="s">
        <v>3384</v>
      </c>
      <c r="B345" s="84" t="s">
        <v>539</v>
      </c>
      <c r="C345" s="81">
        <f>VLOOKUP("~"&amp;GroupVertices[[#This Row],[Vertex]],Vertices[],MATCH("ID",Vertices[[#Headers],[Vertex]:[Top Word Pairs in Comment by Salience]],0),FALSE)</f>
        <v>353</v>
      </c>
    </row>
    <row r="346" spans="1:3" ht="15">
      <c r="A346" s="82" t="s">
        <v>3384</v>
      </c>
      <c r="B346" s="84" t="s">
        <v>538</v>
      </c>
      <c r="C346" s="81">
        <f>VLOOKUP("~"&amp;GroupVertices[[#This Row],[Vertex]],Vertices[],MATCH("ID",Vertices[[#Headers],[Vertex]:[Top Word Pairs in Comment by Salience]],0),FALSE)</f>
        <v>352</v>
      </c>
    </row>
    <row r="347" spans="1:3" ht="15">
      <c r="A347" s="82" t="s">
        <v>3384</v>
      </c>
      <c r="B347" s="84" t="s">
        <v>537</v>
      </c>
      <c r="C347" s="81">
        <f>VLOOKUP("~"&amp;GroupVertices[[#This Row],[Vertex]],Vertices[],MATCH("ID",Vertices[[#Headers],[Vertex]:[Top Word Pairs in Comment by Salience]],0),FALSE)</f>
        <v>351</v>
      </c>
    </row>
    <row r="348" spans="1:3" ht="15">
      <c r="A348" s="82" t="s">
        <v>3384</v>
      </c>
      <c r="B348" s="84" t="s">
        <v>536</v>
      </c>
      <c r="C348" s="81">
        <f>VLOOKUP("~"&amp;GroupVertices[[#This Row],[Vertex]],Vertices[],MATCH("ID",Vertices[[#Headers],[Vertex]:[Top Word Pairs in Comment by Salience]],0),FALSE)</f>
        <v>350</v>
      </c>
    </row>
    <row r="349" spans="1:3" ht="15">
      <c r="A349" s="82" t="s">
        <v>3384</v>
      </c>
      <c r="B349" s="84" t="s">
        <v>535</v>
      </c>
      <c r="C349" s="81">
        <f>VLOOKUP("~"&amp;GroupVertices[[#This Row],[Vertex]],Vertices[],MATCH("ID",Vertices[[#Headers],[Vertex]:[Top Word Pairs in Comment by Salience]],0),FALSE)</f>
        <v>349</v>
      </c>
    </row>
    <row r="350" spans="1:3" ht="15">
      <c r="A350" s="82" t="s">
        <v>3384</v>
      </c>
      <c r="B350" s="84" t="s">
        <v>534</v>
      </c>
      <c r="C350" s="81">
        <f>VLOOKUP("~"&amp;GroupVertices[[#This Row],[Vertex]],Vertices[],MATCH("ID",Vertices[[#Headers],[Vertex]:[Top Word Pairs in Comment by Salience]],0),FALSE)</f>
        <v>348</v>
      </c>
    </row>
    <row r="351" spans="1:3" ht="15">
      <c r="A351" s="82" t="s">
        <v>3384</v>
      </c>
      <c r="B351" s="84" t="s">
        <v>533</v>
      </c>
      <c r="C351" s="81">
        <f>VLOOKUP("~"&amp;GroupVertices[[#This Row],[Vertex]],Vertices[],MATCH("ID",Vertices[[#Headers],[Vertex]:[Top Word Pairs in Comment by Salience]],0),FALSE)</f>
        <v>347</v>
      </c>
    </row>
    <row r="352" spans="1:3" ht="15">
      <c r="A352" s="82" t="s">
        <v>3384</v>
      </c>
      <c r="B352" s="84" t="s">
        <v>532</v>
      </c>
      <c r="C352" s="81">
        <f>VLOOKUP("~"&amp;GroupVertices[[#This Row],[Vertex]],Vertices[],MATCH("ID",Vertices[[#Headers],[Vertex]:[Top Word Pairs in Comment by Salience]],0),FALSE)</f>
        <v>346</v>
      </c>
    </row>
    <row r="353" spans="1:3" ht="15">
      <c r="A353" s="82" t="s">
        <v>3384</v>
      </c>
      <c r="B353" s="84" t="s">
        <v>531</v>
      </c>
      <c r="C353" s="81">
        <f>VLOOKUP("~"&amp;GroupVertices[[#This Row],[Vertex]],Vertices[],MATCH("ID",Vertices[[#Headers],[Vertex]:[Top Word Pairs in Comment by Salience]],0),FALSE)</f>
        <v>345</v>
      </c>
    </row>
    <row r="354" spans="1:3" ht="15">
      <c r="A354" s="82" t="s">
        <v>3384</v>
      </c>
      <c r="B354" s="84" t="s">
        <v>530</v>
      </c>
      <c r="C354" s="81">
        <f>VLOOKUP("~"&amp;GroupVertices[[#This Row],[Vertex]],Vertices[],MATCH("ID",Vertices[[#Headers],[Vertex]:[Top Word Pairs in Comment by Salience]],0),FALSE)</f>
        <v>344</v>
      </c>
    </row>
    <row r="355" spans="1:3" ht="15">
      <c r="A355" s="82" t="s">
        <v>3384</v>
      </c>
      <c r="B355" s="84" t="s">
        <v>529</v>
      </c>
      <c r="C355" s="81">
        <f>VLOOKUP("~"&amp;GroupVertices[[#This Row],[Vertex]],Vertices[],MATCH("ID",Vertices[[#Headers],[Vertex]:[Top Word Pairs in Comment by Salience]],0),FALSE)</f>
        <v>343</v>
      </c>
    </row>
    <row r="356" spans="1:3" ht="15">
      <c r="A356" s="82" t="s">
        <v>3384</v>
      </c>
      <c r="B356" s="84" t="s">
        <v>528</v>
      </c>
      <c r="C356" s="81">
        <f>VLOOKUP("~"&amp;GroupVertices[[#This Row],[Vertex]],Vertices[],MATCH("ID",Vertices[[#Headers],[Vertex]:[Top Word Pairs in Comment by Salience]],0),FALSE)</f>
        <v>342</v>
      </c>
    </row>
    <row r="357" spans="1:3" ht="15">
      <c r="A357" s="82" t="s">
        <v>3384</v>
      </c>
      <c r="B357" s="84" t="s">
        <v>527</v>
      </c>
      <c r="C357" s="81">
        <f>VLOOKUP("~"&amp;GroupVertices[[#This Row],[Vertex]],Vertices[],MATCH("ID",Vertices[[#Headers],[Vertex]:[Top Word Pairs in Comment by Salience]],0),FALSE)</f>
        <v>341</v>
      </c>
    </row>
    <row r="358" spans="1:3" ht="15">
      <c r="A358" s="82" t="s">
        <v>3384</v>
      </c>
      <c r="B358" s="84" t="s">
        <v>526</v>
      </c>
      <c r="C358" s="81">
        <f>VLOOKUP("~"&amp;GroupVertices[[#This Row],[Vertex]],Vertices[],MATCH("ID",Vertices[[#Headers],[Vertex]:[Top Word Pairs in Comment by Salience]],0),FALSE)</f>
        <v>340</v>
      </c>
    </row>
    <row r="359" spans="1:3" ht="15">
      <c r="A359" s="82" t="s">
        <v>3384</v>
      </c>
      <c r="B359" s="84" t="s">
        <v>525</v>
      </c>
      <c r="C359" s="81">
        <f>VLOOKUP("~"&amp;GroupVertices[[#This Row],[Vertex]],Vertices[],MATCH("ID",Vertices[[#Headers],[Vertex]:[Top Word Pairs in Comment by Salience]],0),FALSE)</f>
        <v>339</v>
      </c>
    </row>
    <row r="360" spans="1:3" ht="15">
      <c r="A360" s="82" t="s">
        <v>3384</v>
      </c>
      <c r="B360" s="84" t="s">
        <v>524</v>
      </c>
      <c r="C360" s="81">
        <f>VLOOKUP("~"&amp;GroupVertices[[#This Row],[Vertex]],Vertices[],MATCH("ID",Vertices[[#Headers],[Vertex]:[Top Word Pairs in Comment by Salience]],0),FALSE)</f>
        <v>338</v>
      </c>
    </row>
    <row r="361" spans="1:3" ht="15">
      <c r="A361" s="82" t="s">
        <v>3385</v>
      </c>
      <c r="B361" s="84" t="s">
        <v>902</v>
      </c>
      <c r="C361" s="81">
        <f>VLOOKUP("~"&amp;GroupVertices[[#This Row],[Vertex]],Vertices[],MATCH("ID",Vertices[[#Headers],[Vertex]:[Top Word Pairs in Comment by Salience]],0),FALSE)</f>
        <v>5</v>
      </c>
    </row>
    <row r="362" spans="1:3" ht="15">
      <c r="A362" s="82" t="s">
        <v>3385</v>
      </c>
      <c r="B362" s="84" t="s">
        <v>443</v>
      </c>
      <c r="C362" s="81">
        <f>VLOOKUP("~"&amp;GroupVertices[[#This Row],[Vertex]],Vertices[],MATCH("ID",Vertices[[#Headers],[Vertex]:[Top Word Pairs in Comment by Salience]],0),FALSE)</f>
        <v>260</v>
      </c>
    </row>
    <row r="363" spans="1:3" ht="15">
      <c r="A363" s="82" t="s">
        <v>3385</v>
      </c>
      <c r="B363" s="84" t="s">
        <v>442</v>
      </c>
      <c r="C363" s="81">
        <f>VLOOKUP("~"&amp;GroupVertices[[#This Row],[Vertex]],Vertices[],MATCH("ID",Vertices[[#Headers],[Vertex]:[Top Word Pairs in Comment by Salience]],0),FALSE)</f>
        <v>259</v>
      </c>
    </row>
    <row r="364" spans="1:3" ht="15">
      <c r="A364" s="82" t="s">
        <v>3385</v>
      </c>
      <c r="B364" s="84" t="s">
        <v>441</v>
      </c>
      <c r="C364" s="81">
        <f>VLOOKUP("~"&amp;GroupVertices[[#This Row],[Vertex]],Vertices[],MATCH("ID",Vertices[[#Headers],[Vertex]:[Top Word Pairs in Comment by Salience]],0),FALSE)</f>
        <v>258</v>
      </c>
    </row>
    <row r="365" spans="1:3" ht="15">
      <c r="A365" s="82" t="s">
        <v>3385</v>
      </c>
      <c r="B365" s="84" t="s">
        <v>440</v>
      </c>
      <c r="C365" s="81">
        <f>VLOOKUP("~"&amp;GroupVertices[[#This Row],[Vertex]],Vertices[],MATCH("ID",Vertices[[#Headers],[Vertex]:[Top Word Pairs in Comment by Salience]],0),FALSE)</f>
        <v>257</v>
      </c>
    </row>
    <row r="366" spans="1:3" ht="15">
      <c r="A366" s="82" t="s">
        <v>3385</v>
      </c>
      <c r="B366" s="84" t="s">
        <v>439</v>
      </c>
      <c r="C366" s="81">
        <f>VLOOKUP("~"&amp;GroupVertices[[#This Row],[Vertex]],Vertices[],MATCH("ID",Vertices[[#Headers],[Vertex]:[Top Word Pairs in Comment by Salience]],0),FALSE)</f>
        <v>256</v>
      </c>
    </row>
    <row r="367" spans="1:3" ht="15">
      <c r="A367" s="82" t="s">
        <v>3385</v>
      </c>
      <c r="B367" s="84" t="s">
        <v>438</v>
      </c>
      <c r="C367" s="81">
        <f>VLOOKUP("~"&amp;GroupVertices[[#This Row],[Vertex]],Vertices[],MATCH("ID",Vertices[[#Headers],[Vertex]:[Top Word Pairs in Comment by Salience]],0),FALSE)</f>
        <v>255</v>
      </c>
    </row>
    <row r="368" spans="1:3" ht="15">
      <c r="A368" s="82" t="s">
        <v>3385</v>
      </c>
      <c r="B368" s="84" t="s">
        <v>437</v>
      </c>
      <c r="C368" s="81">
        <f>VLOOKUP("~"&amp;GroupVertices[[#This Row],[Vertex]],Vertices[],MATCH("ID",Vertices[[#Headers],[Vertex]:[Top Word Pairs in Comment by Salience]],0),FALSE)</f>
        <v>26</v>
      </c>
    </row>
    <row r="369" spans="1:3" ht="15">
      <c r="A369" s="82" t="s">
        <v>3385</v>
      </c>
      <c r="B369" s="84" t="s">
        <v>436</v>
      </c>
      <c r="C369" s="81">
        <f>VLOOKUP("~"&amp;GroupVertices[[#This Row],[Vertex]],Vertices[],MATCH("ID",Vertices[[#Headers],[Vertex]:[Top Word Pairs in Comment by Salience]],0),FALSE)</f>
        <v>254</v>
      </c>
    </row>
    <row r="370" spans="1:3" ht="15">
      <c r="A370" s="82" t="s">
        <v>3385</v>
      </c>
      <c r="B370" s="84" t="s">
        <v>435</v>
      </c>
      <c r="C370" s="81">
        <f>VLOOKUP("~"&amp;GroupVertices[[#This Row],[Vertex]],Vertices[],MATCH("ID",Vertices[[#Headers],[Vertex]:[Top Word Pairs in Comment by Salience]],0),FALSE)</f>
        <v>253</v>
      </c>
    </row>
    <row r="371" spans="1:3" ht="15">
      <c r="A371" s="82" t="s">
        <v>3385</v>
      </c>
      <c r="B371" s="84" t="s">
        <v>434</v>
      </c>
      <c r="C371" s="81">
        <f>VLOOKUP("~"&amp;GroupVertices[[#This Row],[Vertex]],Vertices[],MATCH("ID",Vertices[[#Headers],[Vertex]:[Top Word Pairs in Comment by Salience]],0),FALSE)</f>
        <v>252</v>
      </c>
    </row>
    <row r="372" spans="1:3" ht="15">
      <c r="A372" s="82" t="s">
        <v>3385</v>
      </c>
      <c r="B372" s="84" t="s">
        <v>433</v>
      </c>
      <c r="C372" s="81">
        <f>VLOOKUP("~"&amp;GroupVertices[[#This Row],[Vertex]],Vertices[],MATCH("ID",Vertices[[#Headers],[Vertex]:[Top Word Pairs in Comment by Salience]],0),FALSE)</f>
        <v>251</v>
      </c>
    </row>
    <row r="373" spans="1:3" ht="15">
      <c r="A373" s="82" t="s">
        <v>3385</v>
      </c>
      <c r="B373" s="84" t="s">
        <v>432</v>
      </c>
      <c r="C373" s="81">
        <f>VLOOKUP("~"&amp;GroupVertices[[#This Row],[Vertex]],Vertices[],MATCH("ID",Vertices[[#Headers],[Vertex]:[Top Word Pairs in Comment by Salience]],0),FALSE)</f>
        <v>250</v>
      </c>
    </row>
    <row r="374" spans="1:3" ht="15">
      <c r="A374" s="82" t="s">
        <v>3385</v>
      </c>
      <c r="B374" s="84" t="s">
        <v>431</v>
      </c>
      <c r="C374" s="81">
        <f>VLOOKUP("~"&amp;GroupVertices[[#This Row],[Vertex]],Vertices[],MATCH("ID",Vertices[[#Headers],[Vertex]:[Top Word Pairs in Comment by Salience]],0),FALSE)</f>
        <v>249</v>
      </c>
    </row>
    <row r="375" spans="1:3" ht="15">
      <c r="A375" s="82" t="s">
        <v>3385</v>
      </c>
      <c r="B375" s="84" t="s">
        <v>430</v>
      </c>
      <c r="C375" s="81">
        <f>VLOOKUP("~"&amp;GroupVertices[[#This Row],[Vertex]],Vertices[],MATCH("ID",Vertices[[#Headers],[Vertex]:[Top Word Pairs in Comment by Salience]],0),FALSE)</f>
        <v>248</v>
      </c>
    </row>
    <row r="376" spans="1:3" ht="15">
      <c r="A376" s="82" t="s">
        <v>3385</v>
      </c>
      <c r="B376" s="84" t="s">
        <v>429</v>
      </c>
      <c r="C376" s="81">
        <f>VLOOKUP("~"&amp;GroupVertices[[#This Row],[Vertex]],Vertices[],MATCH("ID",Vertices[[#Headers],[Vertex]:[Top Word Pairs in Comment by Salience]],0),FALSE)</f>
        <v>247</v>
      </c>
    </row>
    <row r="377" spans="1:3" ht="15">
      <c r="A377" s="82" t="s">
        <v>3385</v>
      </c>
      <c r="B377" s="84" t="s">
        <v>428</v>
      </c>
      <c r="C377" s="81">
        <f>VLOOKUP("~"&amp;GroupVertices[[#This Row],[Vertex]],Vertices[],MATCH("ID",Vertices[[#Headers],[Vertex]:[Top Word Pairs in Comment by Salience]],0),FALSE)</f>
        <v>246</v>
      </c>
    </row>
    <row r="378" spans="1:3" ht="15">
      <c r="A378" s="82" t="s">
        <v>3385</v>
      </c>
      <c r="B378" s="84" t="s">
        <v>427</v>
      </c>
      <c r="C378" s="81">
        <f>VLOOKUP("~"&amp;GroupVertices[[#This Row],[Vertex]],Vertices[],MATCH("ID",Vertices[[#Headers],[Vertex]:[Top Word Pairs in Comment by Salience]],0),FALSE)</f>
        <v>245</v>
      </c>
    </row>
    <row r="379" spans="1:3" ht="15">
      <c r="A379" s="82" t="s">
        <v>3385</v>
      </c>
      <c r="B379" s="84" t="s">
        <v>426</v>
      </c>
      <c r="C379" s="81">
        <f>VLOOKUP("~"&amp;GroupVertices[[#This Row],[Vertex]],Vertices[],MATCH("ID",Vertices[[#Headers],[Vertex]:[Top Word Pairs in Comment by Salience]],0),FALSE)</f>
        <v>244</v>
      </c>
    </row>
    <row r="380" spans="1:3" ht="15">
      <c r="A380" s="82" t="s">
        <v>3385</v>
      </c>
      <c r="B380" s="84" t="s">
        <v>425</v>
      </c>
      <c r="C380" s="81">
        <f>VLOOKUP("~"&amp;GroupVertices[[#This Row],[Vertex]],Vertices[],MATCH("ID",Vertices[[#Headers],[Vertex]:[Top Word Pairs in Comment by Salience]],0),FALSE)</f>
        <v>243</v>
      </c>
    </row>
    <row r="381" spans="1:3" ht="15">
      <c r="A381" s="82" t="s">
        <v>3385</v>
      </c>
      <c r="B381" s="84" t="s">
        <v>424</v>
      </c>
      <c r="C381" s="81">
        <f>VLOOKUP("~"&amp;GroupVertices[[#This Row],[Vertex]],Vertices[],MATCH("ID",Vertices[[#Headers],[Vertex]:[Top Word Pairs in Comment by Salience]],0),FALSE)</f>
        <v>242</v>
      </c>
    </row>
    <row r="382" spans="1:3" ht="15">
      <c r="A382" s="82" t="s">
        <v>3385</v>
      </c>
      <c r="B382" s="84" t="s">
        <v>423</v>
      </c>
      <c r="C382" s="81">
        <f>VLOOKUP("~"&amp;GroupVertices[[#This Row],[Vertex]],Vertices[],MATCH("ID",Vertices[[#Headers],[Vertex]:[Top Word Pairs in Comment by Salience]],0),FALSE)</f>
        <v>241</v>
      </c>
    </row>
    <row r="383" spans="1:3" ht="15">
      <c r="A383" s="82" t="s">
        <v>3385</v>
      </c>
      <c r="B383" s="84" t="s">
        <v>422</v>
      </c>
      <c r="C383" s="81">
        <f>VLOOKUP("~"&amp;GroupVertices[[#This Row],[Vertex]],Vertices[],MATCH("ID",Vertices[[#Headers],[Vertex]:[Top Word Pairs in Comment by Salience]],0),FALSE)</f>
        <v>240</v>
      </c>
    </row>
    <row r="384" spans="1:3" ht="15">
      <c r="A384" s="82" t="s">
        <v>3385</v>
      </c>
      <c r="B384" s="84" t="s">
        <v>421</v>
      </c>
      <c r="C384" s="81">
        <f>VLOOKUP("~"&amp;GroupVertices[[#This Row],[Vertex]],Vertices[],MATCH("ID",Vertices[[#Headers],[Vertex]:[Top Word Pairs in Comment by Salience]],0),FALSE)</f>
        <v>239</v>
      </c>
    </row>
    <row r="385" spans="1:3" ht="15">
      <c r="A385" s="82" t="s">
        <v>3385</v>
      </c>
      <c r="B385" s="84" t="s">
        <v>420</v>
      </c>
      <c r="C385" s="81">
        <f>VLOOKUP("~"&amp;GroupVertices[[#This Row],[Vertex]],Vertices[],MATCH("ID",Vertices[[#Headers],[Vertex]:[Top Word Pairs in Comment by Salience]],0),FALSE)</f>
        <v>238</v>
      </c>
    </row>
    <row r="386" spans="1:3" ht="15">
      <c r="A386" s="82" t="s">
        <v>3385</v>
      </c>
      <c r="B386" s="84" t="s">
        <v>419</v>
      </c>
      <c r="C386" s="81">
        <f>VLOOKUP("~"&amp;GroupVertices[[#This Row],[Vertex]],Vertices[],MATCH("ID",Vertices[[#Headers],[Vertex]:[Top Word Pairs in Comment by Salience]],0),FALSE)</f>
        <v>237</v>
      </c>
    </row>
    <row r="387" spans="1:3" ht="15">
      <c r="A387" s="82" t="s">
        <v>3385</v>
      </c>
      <c r="B387" s="84" t="s">
        <v>418</v>
      </c>
      <c r="C387" s="81">
        <f>VLOOKUP("~"&amp;GroupVertices[[#This Row],[Vertex]],Vertices[],MATCH("ID",Vertices[[#Headers],[Vertex]:[Top Word Pairs in Comment by Salience]],0),FALSE)</f>
        <v>236</v>
      </c>
    </row>
    <row r="388" spans="1:3" ht="15">
      <c r="A388" s="82" t="s">
        <v>3385</v>
      </c>
      <c r="B388" s="84" t="s">
        <v>417</v>
      </c>
      <c r="C388" s="81">
        <f>VLOOKUP("~"&amp;GroupVertices[[#This Row],[Vertex]],Vertices[],MATCH("ID",Vertices[[#Headers],[Vertex]:[Top Word Pairs in Comment by Salience]],0),FALSE)</f>
        <v>235</v>
      </c>
    </row>
    <row r="389" spans="1:3" ht="15">
      <c r="A389" s="82" t="s">
        <v>3385</v>
      </c>
      <c r="B389" s="84" t="s">
        <v>416</v>
      </c>
      <c r="C389" s="81">
        <f>VLOOKUP("~"&amp;GroupVertices[[#This Row],[Vertex]],Vertices[],MATCH("ID",Vertices[[#Headers],[Vertex]:[Top Word Pairs in Comment by Salience]],0),FALSE)</f>
        <v>234</v>
      </c>
    </row>
    <row r="390" spans="1:3" ht="15">
      <c r="A390" s="82" t="s">
        <v>3385</v>
      </c>
      <c r="B390" s="84" t="s">
        <v>415</v>
      </c>
      <c r="C390" s="81">
        <f>VLOOKUP("~"&amp;GroupVertices[[#This Row],[Vertex]],Vertices[],MATCH("ID",Vertices[[#Headers],[Vertex]:[Top Word Pairs in Comment by Salience]],0),FALSE)</f>
        <v>233</v>
      </c>
    </row>
    <row r="391" spans="1:3" ht="15">
      <c r="A391" s="82" t="s">
        <v>3385</v>
      </c>
      <c r="B391" s="84" t="s">
        <v>414</v>
      </c>
      <c r="C391" s="81">
        <f>VLOOKUP("~"&amp;GroupVertices[[#This Row],[Vertex]],Vertices[],MATCH("ID",Vertices[[#Headers],[Vertex]:[Top Word Pairs in Comment by Salience]],0),FALSE)</f>
        <v>232</v>
      </c>
    </row>
    <row r="392" spans="1:3" ht="15">
      <c r="A392" s="82" t="s">
        <v>3385</v>
      </c>
      <c r="B392" s="84" t="s">
        <v>413</v>
      </c>
      <c r="C392" s="81">
        <f>VLOOKUP("~"&amp;GroupVertices[[#This Row],[Vertex]],Vertices[],MATCH("ID",Vertices[[#Headers],[Vertex]:[Top Word Pairs in Comment by Salience]],0),FALSE)</f>
        <v>231</v>
      </c>
    </row>
    <row r="393" spans="1:3" ht="15">
      <c r="A393" s="82" t="s">
        <v>3385</v>
      </c>
      <c r="B393" s="84" t="s">
        <v>412</v>
      </c>
      <c r="C393" s="81">
        <f>VLOOKUP("~"&amp;GroupVertices[[#This Row],[Vertex]],Vertices[],MATCH("ID",Vertices[[#Headers],[Vertex]:[Top Word Pairs in Comment by Salience]],0),FALSE)</f>
        <v>230</v>
      </c>
    </row>
    <row r="394" spans="1:3" ht="15">
      <c r="A394" s="82" t="s">
        <v>3385</v>
      </c>
      <c r="B394" s="84" t="s">
        <v>411</v>
      </c>
      <c r="C394" s="81">
        <f>VLOOKUP("~"&amp;GroupVertices[[#This Row],[Vertex]],Vertices[],MATCH("ID",Vertices[[#Headers],[Vertex]:[Top Word Pairs in Comment by Salience]],0),FALSE)</f>
        <v>229</v>
      </c>
    </row>
    <row r="395" spans="1:3" ht="15">
      <c r="A395" s="82" t="s">
        <v>3385</v>
      </c>
      <c r="B395" s="84" t="s">
        <v>410</v>
      </c>
      <c r="C395" s="81">
        <f>VLOOKUP("~"&amp;GroupVertices[[#This Row],[Vertex]],Vertices[],MATCH("ID",Vertices[[#Headers],[Vertex]:[Top Word Pairs in Comment by Salience]],0),FALSE)</f>
        <v>228</v>
      </c>
    </row>
    <row r="396" spans="1:3" ht="15">
      <c r="A396" s="82" t="s">
        <v>3385</v>
      </c>
      <c r="B396" s="84" t="s">
        <v>409</v>
      </c>
      <c r="C396" s="81">
        <f>VLOOKUP("~"&amp;GroupVertices[[#This Row],[Vertex]],Vertices[],MATCH("ID",Vertices[[#Headers],[Vertex]:[Top Word Pairs in Comment by Salience]],0),FALSE)</f>
        <v>227</v>
      </c>
    </row>
    <row r="397" spans="1:3" ht="15">
      <c r="A397" s="82" t="s">
        <v>3385</v>
      </c>
      <c r="B397" s="84" t="s">
        <v>408</v>
      </c>
      <c r="C397" s="81">
        <f>VLOOKUP("~"&amp;GroupVertices[[#This Row],[Vertex]],Vertices[],MATCH("ID",Vertices[[#Headers],[Vertex]:[Top Word Pairs in Comment by Salience]],0),FALSE)</f>
        <v>226</v>
      </c>
    </row>
    <row r="398" spans="1:3" ht="15">
      <c r="A398" s="82" t="s">
        <v>3385</v>
      </c>
      <c r="B398" s="84" t="s">
        <v>407</v>
      </c>
      <c r="C398" s="81">
        <f>VLOOKUP("~"&amp;GroupVertices[[#This Row],[Vertex]],Vertices[],MATCH("ID",Vertices[[#Headers],[Vertex]:[Top Word Pairs in Comment by Salience]],0),FALSE)</f>
        <v>225</v>
      </c>
    </row>
    <row r="399" spans="1:3" ht="15">
      <c r="A399" s="82" t="s">
        <v>3385</v>
      </c>
      <c r="B399" s="84" t="s">
        <v>406</v>
      </c>
      <c r="C399" s="81">
        <f>VLOOKUP("~"&amp;GroupVertices[[#This Row],[Vertex]],Vertices[],MATCH("ID",Vertices[[#Headers],[Vertex]:[Top Word Pairs in Comment by Salience]],0),FALSE)</f>
        <v>224</v>
      </c>
    </row>
    <row r="400" spans="1:3" ht="15">
      <c r="A400" s="82" t="s">
        <v>3385</v>
      </c>
      <c r="B400" s="84" t="s">
        <v>405</v>
      </c>
      <c r="C400" s="81">
        <f>VLOOKUP("~"&amp;GroupVertices[[#This Row],[Vertex]],Vertices[],MATCH("ID",Vertices[[#Headers],[Vertex]:[Top Word Pairs in Comment by Salience]],0),FALSE)</f>
        <v>223</v>
      </c>
    </row>
    <row r="401" spans="1:3" ht="15">
      <c r="A401" s="82" t="s">
        <v>3385</v>
      </c>
      <c r="B401" s="84" t="s">
        <v>404</v>
      </c>
      <c r="C401" s="81">
        <f>VLOOKUP("~"&amp;GroupVertices[[#This Row],[Vertex]],Vertices[],MATCH("ID",Vertices[[#Headers],[Vertex]:[Top Word Pairs in Comment by Salience]],0),FALSE)</f>
        <v>222</v>
      </c>
    </row>
    <row r="402" spans="1:3" ht="15">
      <c r="A402" s="82" t="s">
        <v>3385</v>
      </c>
      <c r="B402" s="84" t="s">
        <v>403</v>
      </c>
      <c r="C402" s="81">
        <f>VLOOKUP("~"&amp;GroupVertices[[#This Row],[Vertex]],Vertices[],MATCH("ID",Vertices[[#Headers],[Vertex]:[Top Word Pairs in Comment by Salience]],0),FALSE)</f>
        <v>221</v>
      </c>
    </row>
    <row r="403" spans="1:3" ht="15">
      <c r="A403" s="82" t="s">
        <v>3385</v>
      </c>
      <c r="B403" s="84" t="s">
        <v>402</v>
      </c>
      <c r="C403" s="81">
        <f>VLOOKUP("~"&amp;GroupVertices[[#This Row],[Vertex]],Vertices[],MATCH("ID",Vertices[[#Headers],[Vertex]:[Top Word Pairs in Comment by Salience]],0),FALSE)</f>
        <v>220</v>
      </c>
    </row>
    <row r="404" spans="1:3" ht="15">
      <c r="A404" s="82" t="s">
        <v>3385</v>
      </c>
      <c r="B404" s="84" t="s">
        <v>401</v>
      </c>
      <c r="C404" s="81">
        <f>VLOOKUP("~"&amp;GroupVertices[[#This Row],[Vertex]],Vertices[],MATCH("ID",Vertices[[#Headers],[Vertex]:[Top Word Pairs in Comment by Salience]],0),FALSE)</f>
        <v>219</v>
      </c>
    </row>
    <row r="405" spans="1:3" ht="15">
      <c r="A405" s="82" t="s">
        <v>3385</v>
      </c>
      <c r="B405" s="84" t="s">
        <v>400</v>
      </c>
      <c r="C405" s="81">
        <f>VLOOKUP("~"&amp;GroupVertices[[#This Row],[Vertex]],Vertices[],MATCH("ID",Vertices[[#Headers],[Vertex]:[Top Word Pairs in Comment by Salience]],0),FALSE)</f>
        <v>218</v>
      </c>
    </row>
    <row r="406" spans="1:3" ht="15">
      <c r="A406" s="82" t="s">
        <v>3385</v>
      </c>
      <c r="B406" s="84" t="s">
        <v>399</v>
      </c>
      <c r="C406" s="81">
        <f>VLOOKUP("~"&amp;GroupVertices[[#This Row],[Vertex]],Vertices[],MATCH("ID",Vertices[[#Headers],[Vertex]:[Top Word Pairs in Comment by Salience]],0),FALSE)</f>
        <v>25</v>
      </c>
    </row>
    <row r="407" spans="1:3" ht="15">
      <c r="A407" s="82" t="s">
        <v>3385</v>
      </c>
      <c r="B407" s="84" t="s">
        <v>398</v>
      </c>
      <c r="C407" s="81">
        <f>VLOOKUP("~"&amp;GroupVertices[[#This Row],[Vertex]],Vertices[],MATCH("ID",Vertices[[#Headers],[Vertex]:[Top Word Pairs in Comment by Salience]],0),FALSE)</f>
        <v>217</v>
      </c>
    </row>
    <row r="408" spans="1:3" ht="15">
      <c r="A408" s="82" t="s">
        <v>3385</v>
      </c>
      <c r="B408" s="84" t="s">
        <v>397</v>
      </c>
      <c r="C408" s="81">
        <f>VLOOKUP("~"&amp;GroupVertices[[#This Row],[Vertex]],Vertices[],MATCH("ID",Vertices[[#Headers],[Vertex]:[Top Word Pairs in Comment by Salience]],0),FALSE)</f>
        <v>216</v>
      </c>
    </row>
    <row r="409" spans="1:3" ht="15">
      <c r="A409" s="82" t="s">
        <v>3385</v>
      </c>
      <c r="B409" s="84" t="s">
        <v>396</v>
      </c>
      <c r="C409" s="81">
        <f>VLOOKUP("~"&amp;GroupVertices[[#This Row],[Vertex]],Vertices[],MATCH("ID",Vertices[[#Headers],[Vertex]:[Top Word Pairs in Comment by Salience]],0),FALSE)</f>
        <v>215</v>
      </c>
    </row>
    <row r="410" spans="1:3" ht="15">
      <c r="A410" s="82" t="s">
        <v>3385</v>
      </c>
      <c r="B410" s="84" t="s">
        <v>395</v>
      </c>
      <c r="C410" s="81">
        <f>VLOOKUP("~"&amp;GroupVertices[[#This Row],[Vertex]],Vertices[],MATCH("ID",Vertices[[#Headers],[Vertex]:[Top Word Pairs in Comment by Salience]],0),FALSE)</f>
        <v>214</v>
      </c>
    </row>
    <row r="411" spans="1:3" ht="15">
      <c r="A411" s="82" t="s">
        <v>3385</v>
      </c>
      <c r="B411" s="84" t="s">
        <v>394</v>
      </c>
      <c r="C411" s="81">
        <f>VLOOKUP("~"&amp;GroupVertices[[#This Row],[Vertex]],Vertices[],MATCH("ID",Vertices[[#Headers],[Vertex]:[Top Word Pairs in Comment by Salience]],0),FALSE)</f>
        <v>213</v>
      </c>
    </row>
    <row r="412" spans="1:3" ht="15">
      <c r="A412" s="82" t="s">
        <v>3385</v>
      </c>
      <c r="B412" s="84" t="s">
        <v>393</v>
      </c>
      <c r="C412" s="81">
        <f>VLOOKUP("~"&amp;GroupVertices[[#This Row],[Vertex]],Vertices[],MATCH("ID",Vertices[[#Headers],[Vertex]:[Top Word Pairs in Comment by Salience]],0),FALSE)</f>
        <v>212</v>
      </c>
    </row>
    <row r="413" spans="1:3" ht="15">
      <c r="A413" s="82" t="s">
        <v>3385</v>
      </c>
      <c r="B413" s="84" t="s">
        <v>392</v>
      </c>
      <c r="C413" s="81">
        <f>VLOOKUP("~"&amp;GroupVertices[[#This Row],[Vertex]],Vertices[],MATCH("ID",Vertices[[#Headers],[Vertex]:[Top Word Pairs in Comment by Salience]],0),FALSE)</f>
        <v>211</v>
      </c>
    </row>
    <row r="414" spans="1:3" ht="15">
      <c r="A414" s="82" t="s">
        <v>3385</v>
      </c>
      <c r="B414" s="84" t="s">
        <v>391</v>
      </c>
      <c r="C414" s="81">
        <f>VLOOKUP("~"&amp;GroupVertices[[#This Row],[Vertex]],Vertices[],MATCH("ID",Vertices[[#Headers],[Vertex]:[Top Word Pairs in Comment by Salience]],0),FALSE)</f>
        <v>210</v>
      </c>
    </row>
    <row r="415" spans="1:3" ht="15">
      <c r="A415" s="82" t="s">
        <v>3385</v>
      </c>
      <c r="B415" s="84" t="s">
        <v>390</v>
      </c>
      <c r="C415" s="81">
        <f>VLOOKUP("~"&amp;GroupVertices[[#This Row],[Vertex]],Vertices[],MATCH("ID",Vertices[[#Headers],[Vertex]:[Top Word Pairs in Comment by Salience]],0),FALSE)</f>
        <v>209</v>
      </c>
    </row>
    <row r="416" spans="1:3" ht="15">
      <c r="A416" s="82" t="s">
        <v>3385</v>
      </c>
      <c r="B416" s="84" t="s">
        <v>389</v>
      </c>
      <c r="C416" s="81">
        <f>VLOOKUP("~"&amp;GroupVertices[[#This Row],[Vertex]],Vertices[],MATCH("ID",Vertices[[#Headers],[Vertex]:[Top Word Pairs in Comment by Salience]],0),FALSE)</f>
        <v>24</v>
      </c>
    </row>
    <row r="417" spans="1:3" ht="15">
      <c r="A417" s="82" t="s">
        <v>3385</v>
      </c>
      <c r="B417" s="84" t="s">
        <v>388</v>
      </c>
      <c r="C417" s="81">
        <f>VLOOKUP("~"&amp;GroupVertices[[#This Row],[Vertex]],Vertices[],MATCH("ID",Vertices[[#Headers],[Vertex]:[Top Word Pairs in Comment by Salience]],0),FALSE)</f>
        <v>208</v>
      </c>
    </row>
    <row r="418" spans="1:3" ht="15">
      <c r="A418" s="82" t="s">
        <v>3385</v>
      </c>
      <c r="B418" s="84" t="s">
        <v>387</v>
      </c>
      <c r="C418" s="81">
        <f>VLOOKUP("~"&amp;GroupVertices[[#This Row],[Vertex]],Vertices[],MATCH("ID",Vertices[[#Headers],[Vertex]:[Top Word Pairs in Comment by Salience]],0),FALSE)</f>
        <v>207</v>
      </c>
    </row>
    <row r="419" spans="1:3" ht="15">
      <c r="A419" s="82" t="s">
        <v>3385</v>
      </c>
      <c r="B419" s="84" t="s">
        <v>386</v>
      </c>
      <c r="C419" s="81">
        <f>VLOOKUP("~"&amp;GroupVertices[[#This Row],[Vertex]],Vertices[],MATCH("ID",Vertices[[#Headers],[Vertex]:[Top Word Pairs in Comment by Salience]],0),FALSE)</f>
        <v>206</v>
      </c>
    </row>
    <row r="420" spans="1:3" ht="15">
      <c r="A420" s="82" t="s">
        <v>3385</v>
      </c>
      <c r="B420" s="84" t="s">
        <v>385</v>
      </c>
      <c r="C420" s="81">
        <f>VLOOKUP("~"&amp;GroupVertices[[#This Row],[Vertex]],Vertices[],MATCH("ID",Vertices[[#Headers],[Vertex]:[Top Word Pairs in Comment by Salience]],0),FALSE)</f>
        <v>205</v>
      </c>
    </row>
    <row r="421" spans="1:3" ht="15">
      <c r="A421" s="82" t="s">
        <v>3385</v>
      </c>
      <c r="B421" s="84" t="s">
        <v>384</v>
      </c>
      <c r="C421" s="81">
        <f>VLOOKUP("~"&amp;GroupVertices[[#This Row],[Vertex]],Vertices[],MATCH("ID",Vertices[[#Headers],[Vertex]:[Top Word Pairs in Comment by Salience]],0),FALSE)</f>
        <v>204</v>
      </c>
    </row>
    <row r="422" spans="1:3" ht="15">
      <c r="A422" s="82" t="s">
        <v>3385</v>
      </c>
      <c r="B422" s="84" t="s">
        <v>383</v>
      </c>
      <c r="C422" s="81">
        <f>VLOOKUP("~"&amp;GroupVertices[[#This Row],[Vertex]],Vertices[],MATCH("ID",Vertices[[#Headers],[Vertex]:[Top Word Pairs in Comment by Salience]],0),FALSE)</f>
        <v>203</v>
      </c>
    </row>
    <row r="423" spans="1:3" ht="15">
      <c r="A423" s="82" t="s">
        <v>3385</v>
      </c>
      <c r="B423" s="84" t="s">
        <v>382</v>
      </c>
      <c r="C423" s="81">
        <f>VLOOKUP("~"&amp;GroupVertices[[#This Row],[Vertex]],Vertices[],MATCH("ID",Vertices[[#Headers],[Vertex]:[Top Word Pairs in Comment by Salience]],0),FALSE)</f>
        <v>202</v>
      </c>
    </row>
    <row r="424" spans="1:3" ht="15">
      <c r="A424" s="82" t="s">
        <v>3385</v>
      </c>
      <c r="B424" s="84" t="s">
        <v>381</v>
      </c>
      <c r="C424" s="81">
        <f>VLOOKUP("~"&amp;GroupVertices[[#This Row],[Vertex]],Vertices[],MATCH("ID",Vertices[[#Headers],[Vertex]:[Top Word Pairs in Comment by Salience]],0),FALSE)</f>
        <v>201</v>
      </c>
    </row>
    <row r="425" spans="1:3" ht="15">
      <c r="A425" s="82" t="s">
        <v>3385</v>
      </c>
      <c r="B425" s="84" t="s">
        <v>380</v>
      </c>
      <c r="C425" s="81">
        <f>VLOOKUP("~"&amp;GroupVertices[[#This Row],[Vertex]],Vertices[],MATCH("ID",Vertices[[#Headers],[Vertex]:[Top Word Pairs in Comment by Salience]],0),FALSE)</f>
        <v>200</v>
      </c>
    </row>
    <row r="426" spans="1:3" ht="15">
      <c r="A426" s="82" t="s">
        <v>3385</v>
      </c>
      <c r="B426" s="84" t="s">
        <v>379</v>
      </c>
      <c r="C426" s="81">
        <f>VLOOKUP("~"&amp;GroupVertices[[#This Row],[Vertex]],Vertices[],MATCH("ID",Vertices[[#Headers],[Vertex]:[Top Word Pairs in Comment by Salience]],0),FALSE)</f>
        <v>199</v>
      </c>
    </row>
    <row r="427" spans="1:3" ht="15">
      <c r="A427" s="82" t="s">
        <v>3385</v>
      </c>
      <c r="B427" s="84" t="s">
        <v>378</v>
      </c>
      <c r="C427" s="81">
        <f>VLOOKUP("~"&amp;GroupVertices[[#This Row],[Vertex]],Vertices[],MATCH("ID",Vertices[[#Headers],[Vertex]:[Top Word Pairs in Comment by Salience]],0),FALSE)</f>
        <v>198</v>
      </c>
    </row>
    <row r="428" spans="1:3" ht="15">
      <c r="A428" s="82" t="s">
        <v>3385</v>
      </c>
      <c r="B428" s="84" t="s">
        <v>377</v>
      </c>
      <c r="C428" s="81">
        <f>VLOOKUP("~"&amp;GroupVertices[[#This Row],[Vertex]],Vertices[],MATCH("ID",Vertices[[#Headers],[Vertex]:[Top Word Pairs in Comment by Salience]],0),FALSE)</f>
        <v>197</v>
      </c>
    </row>
    <row r="429" spans="1:3" ht="15">
      <c r="A429" s="82" t="s">
        <v>3385</v>
      </c>
      <c r="B429" s="84" t="s">
        <v>376</v>
      </c>
      <c r="C429" s="81">
        <f>VLOOKUP("~"&amp;GroupVertices[[#This Row],[Vertex]],Vertices[],MATCH("ID",Vertices[[#Headers],[Vertex]:[Top Word Pairs in Comment by Salience]],0),FALSE)</f>
        <v>196</v>
      </c>
    </row>
    <row r="430" spans="1:3" ht="15">
      <c r="A430" s="82" t="s">
        <v>3385</v>
      </c>
      <c r="B430" s="84" t="s">
        <v>375</v>
      </c>
      <c r="C430" s="81">
        <f>VLOOKUP("~"&amp;GroupVertices[[#This Row],[Vertex]],Vertices[],MATCH("ID",Vertices[[#Headers],[Vertex]:[Top Word Pairs in Comment by Salience]],0),FALSE)</f>
        <v>195</v>
      </c>
    </row>
    <row r="431" spans="1:3" ht="15">
      <c r="A431" s="82" t="s">
        <v>3385</v>
      </c>
      <c r="B431" s="84" t="s">
        <v>374</v>
      </c>
      <c r="C431" s="81">
        <f>VLOOKUP("~"&amp;GroupVertices[[#This Row],[Vertex]],Vertices[],MATCH("ID",Vertices[[#Headers],[Vertex]:[Top Word Pairs in Comment by Salience]],0),FALSE)</f>
        <v>194</v>
      </c>
    </row>
    <row r="432" spans="1:3" ht="15">
      <c r="A432" s="82" t="s">
        <v>3385</v>
      </c>
      <c r="B432" s="84" t="s">
        <v>373</v>
      </c>
      <c r="C432" s="81">
        <f>VLOOKUP("~"&amp;GroupVertices[[#This Row],[Vertex]],Vertices[],MATCH("ID",Vertices[[#Headers],[Vertex]:[Top Word Pairs in Comment by Salience]],0),FALSE)</f>
        <v>193</v>
      </c>
    </row>
    <row r="433" spans="1:3" ht="15">
      <c r="A433" s="82" t="s">
        <v>3385</v>
      </c>
      <c r="B433" s="84" t="s">
        <v>372</v>
      </c>
      <c r="C433" s="81">
        <f>VLOOKUP("~"&amp;GroupVertices[[#This Row],[Vertex]],Vertices[],MATCH("ID",Vertices[[#Headers],[Vertex]:[Top Word Pairs in Comment by Salience]],0),FALSE)</f>
        <v>192</v>
      </c>
    </row>
    <row r="434" spans="1:3" ht="15">
      <c r="A434" s="82" t="s">
        <v>3385</v>
      </c>
      <c r="B434" s="84" t="s">
        <v>371</v>
      </c>
      <c r="C434" s="81">
        <f>VLOOKUP("~"&amp;GroupVertices[[#This Row],[Vertex]],Vertices[],MATCH("ID",Vertices[[#Headers],[Vertex]:[Top Word Pairs in Comment by Salience]],0),FALSE)</f>
        <v>191</v>
      </c>
    </row>
    <row r="435" spans="1:3" ht="15">
      <c r="A435" s="82" t="s">
        <v>3385</v>
      </c>
      <c r="B435" s="84" t="s">
        <v>370</v>
      </c>
      <c r="C435" s="81">
        <f>VLOOKUP("~"&amp;GroupVertices[[#This Row],[Vertex]],Vertices[],MATCH("ID",Vertices[[#Headers],[Vertex]:[Top Word Pairs in Comment by Salience]],0),FALSE)</f>
        <v>190</v>
      </c>
    </row>
    <row r="436" spans="1:3" ht="15">
      <c r="A436" s="82" t="s">
        <v>3385</v>
      </c>
      <c r="B436" s="84" t="s">
        <v>369</v>
      </c>
      <c r="C436" s="81">
        <f>VLOOKUP("~"&amp;GroupVertices[[#This Row],[Vertex]],Vertices[],MATCH("ID",Vertices[[#Headers],[Vertex]:[Top Word Pairs in Comment by Salience]],0),FALSE)</f>
        <v>189</v>
      </c>
    </row>
    <row r="437" spans="1:3" ht="15">
      <c r="A437" s="82" t="s">
        <v>3385</v>
      </c>
      <c r="B437" s="84" t="s">
        <v>368</v>
      </c>
      <c r="C437" s="81">
        <f>VLOOKUP("~"&amp;GroupVertices[[#This Row],[Vertex]],Vertices[],MATCH("ID",Vertices[[#Headers],[Vertex]:[Top Word Pairs in Comment by Salience]],0),FALSE)</f>
        <v>188</v>
      </c>
    </row>
    <row r="438" spans="1:3" ht="15">
      <c r="A438" s="82" t="s">
        <v>3385</v>
      </c>
      <c r="B438" s="84" t="s">
        <v>367</v>
      </c>
      <c r="C438" s="81">
        <f>VLOOKUP("~"&amp;GroupVertices[[#This Row],[Vertex]],Vertices[],MATCH("ID",Vertices[[#Headers],[Vertex]:[Top Word Pairs in Comment by Salience]],0),FALSE)</f>
        <v>187</v>
      </c>
    </row>
    <row r="439" spans="1:3" ht="15">
      <c r="A439" s="82" t="s">
        <v>3385</v>
      </c>
      <c r="B439" s="84" t="s">
        <v>366</v>
      </c>
      <c r="C439" s="81">
        <f>VLOOKUP("~"&amp;GroupVertices[[#This Row],[Vertex]],Vertices[],MATCH("ID",Vertices[[#Headers],[Vertex]:[Top Word Pairs in Comment by Salience]],0),FALSE)</f>
        <v>186</v>
      </c>
    </row>
    <row r="440" spans="1:3" ht="15">
      <c r="A440" s="82" t="s">
        <v>3385</v>
      </c>
      <c r="B440" s="84" t="s">
        <v>365</v>
      </c>
      <c r="C440" s="81">
        <f>VLOOKUP("~"&amp;GroupVertices[[#This Row],[Vertex]],Vertices[],MATCH("ID",Vertices[[#Headers],[Vertex]:[Top Word Pairs in Comment by Salience]],0),FALSE)</f>
        <v>185</v>
      </c>
    </row>
    <row r="441" spans="1:3" ht="15">
      <c r="A441" s="82" t="s">
        <v>3385</v>
      </c>
      <c r="B441" s="84" t="s">
        <v>364</v>
      </c>
      <c r="C441" s="81">
        <f>VLOOKUP("~"&amp;GroupVertices[[#This Row],[Vertex]],Vertices[],MATCH("ID",Vertices[[#Headers],[Vertex]:[Top Word Pairs in Comment by Salience]],0),FALSE)</f>
        <v>184</v>
      </c>
    </row>
    <row r="442" spans="1:3" ht="15">
      <c r="A442" s="82" t="s">
        <v>3385</v>
      </c>
      <c r="B442" s="84" t="s">
        <v>363</v>
      </c>
      <c r="C442" s="81">
        <f>VLOOKUP("~"&amp;GroupVertices[[#This Row],[Vertex]],Vertices[],MATCH("ID",Vertices[[#Headers],[Vertex]:[Top Word Pairs in Comment by Salience]],0),FALSE)</f>
        <v>183</v>
      </c>
    </row>
    <row r="443" spans="1:3" ht="15">
      <c r="A443" s="82" t="s">
        <v>3385</v>
      </c>
      <c r="B443" s="84" t="s">
        <v>362</v>
      </c>
      <c r="C443" s="81">
        <f>VLOOKUP("~"&amp;GroupVertices[[#This Row],[Vertex]],Vertices[],MATCH("ID",Vertices[[#Headers],[Vertex]:[Top Word Pairs in Comment by Salience]],0),FALSE)</f>
        <v>182</v>
      </c>
    </row>
    <row r="444" spans="1:3" ht="15">
      <c r="A444" s="82" t="s">
        <v>3385</v>
      </c>
      <c r="B444" s="84" t="s">
        <v>361</v>
      </c>
      <c r="C444" s="81">
        <f>VLOOKUP("~"&amp;GroupVertices[[#This Row],[Vertex]],Vertices[],MATCH("ID",Vertices[[#Headers],[Vertex]:[Top Word Pairs in Comment by Salience]],0),FALSE)</f>
        <v>181</v>
      </c>
    </row>
    <row r="445" spans="1:3" ht="15">
      <c r="A445" s="82" t="s">
        <v>3385</v>
      </c>
      <c r="B445" s="84" t="s">
        <v>360</v>
      </c>
      <c r="C445" s="81">
        <f>VLOOKUP("~"&amp;GroupVertices[[#This Row],[Vertex]],Vertices[],MATCH("ID",Vertices[[#Headers],[Vertex]:[Top Word Pairs in Comment by Salience]],0),FALSE)</f>
        <v>180</v>
      </c>
    </row>
    <row r="446" spans="1:3" ht="15">
      <c r="A446" s="82" t="s">
        <v>3385</v>
      </c>
      <c r="B446" s="84" t="s">
        <v>358</v>
      </c>
      <c r="C446" s="81">
        <f>VLOOKUP("~"&amp;GroupVertices[[#This Row],[Vertex]],Vertices[],MATCH("ID",Vertices[[#Headers],[Vertex]:[Top Word Pairs in Comment by Salience]],0),FALSE)</f>
        <v>179</v>
      </c>
    </row>
    <row r="447" spans="1:3" ht="15">
      <c r="A447" s="82" t="s">
        <v>3385</v>
      </c>
      <c r="B447" s="84" t="s">
        <v>357</v>
      </c>
      <c r="C447" s="81">
        <f>VLOOKUP("~"&amp;GroupVertices[[#This Row],[Vertex]],Vertices[],MATCH("ID",Vertices[[#Headers],[Vertex]:[Top Word Pairs in Comment by Salience]],0),FALSE)</f>
        <v>178</v>
      </c>
    </row>
    <row r="448" spans="1:3" ht="15">
      <c r="A448" s="82" t="s">
        <v>3385</v>
      </c>
      <c r="B448" s="84" t="s">
        <v>356</v>
      </c>
      <c r="C448" s="81">
        <f>VLOOKUP("~"&amp;GroupVertices[[#This Row],[Vertex]],Vertices[],MATCH("ID",Vertices[[#Headers],[Vertex]:[Top Word Pairs in Comment by Salience]],0),FALSE)</f>
        <v>177</v>
      </c>
    </row>
    <row r="449" spans="1:3" ht="15">
      <c r="A449" s="82" t="s">
        <v>3385</v>
      </c>
      <c r="B449" s="84" t="s">
        <v>355</v>
      </c>
      <c r="C449" s="81">
        <f>VLOOKUP("~"&amp;GroupVertices[[#This Row],[Vertex]],Vertices[],MATCH("ID",Vertices[[#Headers],[Vertex]:[Top Word Pairs in Comment by Salience]],0),FALSE)</f>
        <v>176</v>
      </c>
    </row>
    <row r="450" spans="1:3" ht="15">
      <c r="A450" s="82" t="s">
        <v>3385</v>
      </c>
      <c r="B450" s="84" t="s">
        <v>354</v>
      </c>
      <c r="C450" s="81">
        <f>VLOOKUP("~"&amp;GroupVertices[[#This Row],[Vertex]],Vertices[],MATCH("ID",Vertices[[#Headers],[Vertex]:[Top Word Pairs in Comment by Salience]],0),FALSE)</f>
        <v>175</v>
      </c>
    </row>
    <row r="451" spans="1:3" ht="15">
      <c r="A451" s="82" t="s">
        <v>3385</v>
      </c>
      <c r="B451" s="84" t="s">
        <v>353</v>
      </c>
      <c r="C451" s="81">
        <f>VLOOKUP("~"&amp;GroupVertices[[#This Row],[Vertex]],Vertices[],MATCH("ID",Vertices[[#Headers],[Vertex]:[Top Word Pairs in Comment by Salience]],0),FALSE)</f>
        <v>174</v>
      </c>
    </row>
    <row r="452" spans="1:3" ht="15">
      <c r="A452" s="82" t="s">
        <v>3385</v>
      </c>
      <c r="B452" s="84" t="s">
        <v>352</v>
      </c>
      <c r="C452" s="81">
        <f>VLOOKUP("~"&amp;GroupVertices[[#This Row],[Vertex]],Vertices[],MATCH("ID",Vertices[[#Headers],[Vertex]:[Top Word Pairs in Comment by Salience]],0),FALSE)</f>
        <v>173</v>
      </c>
    </row>
    <row r="453" spans="1:3" ht="15">
      <c r="A453" s="82" t="s">
        <v>3386</v>
      </c>
      <c r="B453" s="84" t="s">
        <v>806</v>
      </c>
      <c r="C453" s="81">
        <f>VLOOKUP("~"&amp;GroupVertices[[#This Row],[Vertex]],Vertices[],MATCH("ID",Vertices[[#Headers],[Vertex]:[Top Word Pairs in Comment by Salience]],0),FALSE)</f>
        <v>610</v>
      </c>
    </row>
    <row r="454" spans="1:3" ht="15">
      <c r="A454" s="82" t="s">
        <v>3386</v>
      </c>
      <c r="B454" s="84" t="s">
        <v>906</v>
      </c>
      <c r="C454" s="81">
        <f>VLOOKUP("~"&amp;GroupVertices[[#This Row],[Vertex]],Vertices[],MATCH("ID",Vertices[[#Headers],[Vertex]:[Top Word Pairs in Comment by Salience]],0),FALSE)</f>
        <v>9</v>
      </c>
    </row>
    <row r="455" spans="1:3" ht="15">
      <c r="A455" s="82" t="s">
        <v>3386</v>
      </c>
      <c r="B455" s="84" t="s">
        <v>805</v>
      </c>
      <c r="C455" s="81">
        <f>VLOOKUP("~"&amp;GroupVertices[[#This Row],[Vertex]],Vertices[],MATCH("ID",Vertices[[#Headers],[Vertex]:[Top Word Pairs in Comment by Salience]],0),FALSE)</f>
        <v>609</v>
      </c>
    </row>
    <row r="456" spans="1:3" ht="15">
      <c r="A456" s="82" t="s">
        <v>3386</v>
      </c>
      <c r="B456" s="84" t="s">
        <v>804</v>
      </c>
      <c r="C456" s="81">
        <f>VLOOKUP("~"&amp;GroupVertices[[#This Row],[Vertex]],Vertices[],MATCH("ID",Vertices[[#Headers],[Vertex]:[Top Word Pairs in Comment by Salience]],0),FALSE)</f>
        <v>20</v>
      </c>
    </row>
    <row r="457" spans="1:3" ht="15">
      <c r="A457" s="82" t="s">
        <v>3386</v>
      </c>
      <c r="B457" s="84" t="s">
        <v>803</v>
      </c>
      <c r="C457" s="81">
        <f>VLOOKUP("~"&amp;GroupVertices[[#This Row],[Vertex]],Vertices[],MATCH("ID",Vertices[[#Headers],[Vertex]:[Top Word Pairs in Comment by Salience]],0),FALSE)</f>
        <v>608</v>
      </c>
    </row>
    <row r="458" spans="1:3" ht="15">
      <c r="A458" s="82" t="s">
        <v>3386</v>
      </c>
      <c r="B458" s="84" t="s">
        <v>802</v>
      </c>
      <c r="C458" s="81">
        <f>VLOOKUP("~"&amp;GroupVertices[[#This Row],[Vertex]],Vertices[],MATCH("ID",Vertices[[#Headers],[Vertex]:[Top Word Pairs in Comment by Salience]],0),FALSE)</f>
        <v>607</v>
      </c>
    </row>
    <row r="459" spans="1:3" ht="15">
      <c r="A459" s="82" t="s">
        <v>3386</v>
      </c>
      <c r="B459" s="84" t="s">
        <v>801</v>
      </c>
      <c r="C459" s="81">
        <f>VLOOKUP("~"&amp;GroupVertices[[#This Row],[Vertex]],Vertices[],MATCH("ID",Vertices[[#Headers],[Vertex]:[Top Word Pairs in Comment by Salience]],0),FALSE)</f>
        <v>606</v>
      </c>
    </row>
    <row r="460" spans="1:3" ht="15">
      <c r="A460" s="82" t="s">
        <v>3386</v>
      </c>
      <c r="B460" s="84" t="s">
        <v>800</v>
      </c>
      <c r="C460" s="81">
        <f>VLOOKUP("~"&amp;GroupVertices[[#This Row],[Vertex]],Vertices[],MATCH("ID",Vertices[[#Headers],[Vertex]:[Top Word Pairs in Comment by Salience]],0),FALSE)</f>
        <v>19</v>
      </c>
    </row>
    <row r="461" spans="1:3" ht="15">
      <c r="A461" s="82" t="s">
        <v>3386</v>
      </c>
      <c r="B461" s="84" t="s">
        <v>799</v>
      </c>
      <c r="C461" s="81">
        <f>VLOOKUP("~"&amp;GroupVertices[[#This Row],[Vertex]],Vertices[],MATCH("ID",Vertices[[#Headers],[Vertex]:[Top Word Pairs in Comment by Salience]],0),FALSE)</f>
        <v>605</v>
      </c>
    </row>
    <row r="462" spans="1:3" ht="15">
      <c r="A462" s="82" t="s">
        <v>3386</v>
      </c>
      <c r="B462" s="84" t="s">
        <v>798</v>
      </c>
      <c r="C462" s="81">
        <f>VLOOKUP("~"&amp;GroupVertices[[#This Row],[Vertex]],Vertices[],MATCH("ID",Vertices[[#Headers],[Vertex]:[Top Word Pairs in Comment by Salience]],0),FALSE)</f>
        <v>604</v>
      </c>
    </row>
    <row r="463" spans="1:3" ht="15">
      <c r="A463" s="82" t="s">
        <v>3386</v>
      </c>
      <c r="B463" s="84" t="s">
        <v>797</v>
      </c>
      <c r="C463" s="81">
        <f>VLOOKUP("~"&amp;GroupVertices[[#This Row],[Vertex]],Vertices[],MATCH("ID",Vertices[[#Headers],[Vertex]:[Top Word Pairs in Comment by Salience]],0),FALSE)</f>
        <v>603</v>
      </c>
    </row>
    <row r="464" spans="1:3" ht="15">
      <c r="A464" s="82" t="s">
        <v>3386</v>
      </c>
      <c r="B464" s="84" t="s">
        <v>796</v>
      </c>
      <c r="C464" s="81">
        <f>VLOOKUP("~"&amp;GroupVertices[[#This Row],[Vertex]],Vertices[],MATCH("ID",Vertices[[#Headers],[Vertex]:[Top Word Pairs in Comment by Salience]],0),FALSE)</f>
        <v>602</v>
      </c>
    </row>
    <row r="465" spans="1:3" ht="15">
      <c r="A465" s="82" t="s">
        <v>3386</v>
      </c>
      <c r="B465" s="84" t="s">
        <v>795</v>
      </c>
      <c r="C465" s="81">
        <f>VLOOKUP("~"&amp;GroupVertices[[#This Row],[Vertex]],Vertices[],MATCH("ID",Vertices[[#Headers],[Vertex]:[Top Word Pairs in Comment by Salience]],0),FALSE)</f>
        <v>601</v>
      </c>
    </row>
    <row r="466" spans="1:3" ht="15">
      <c r="A466" s="82" t="s">
        <v>3386</v>
      </c>
      <c r="B466" s="84" t="s">
        <v>794</v>
      </c>
      <c r="C466" s="81">
        <f>VLOOKUP("~"&amp;GroupVertices[[#This Row],[Vertex]],Vertices[],MATCH("ID",Vertices[[#Headers],[Vertex]:[Top Word Pairs in Comment by Salience]],0),FALSE)</f>
        <v>600</v>
      </c>
    </row>
    <row r="467" spans="1:3" ht="15">
      <c r="A467" s="82" t="s">
        <v>3386</v>
      </c>
      <c r="B467" s="84" t="s">
        <v>793</v>
      </c>
      <c r="C467" s="81">
        <f>VLOOKUP("~"&amp;GroupVertices[[#This Row],[Vertex]],Vertices[],MATCH("ID",Vertices[[#Headers],[Vertex]:[Top Word Pairs in Comment by Salience]],0),FALSE)</f>
        <v>599</v>
      </c>
    </row>
    <row r="468" spans="1:3" ht="15">
      <c r="A468" s="82" t="s">
        <v>3386</v>
      </c>
      <c r="B468" s="84" t="s">
        <v>792</v>
      </c>
      <c r="C468" s="81">
        <f>VLOOKUP("~"&amp;GroupVertices[[#This Row],[Vertex]],Vertices[],MATCH("ID",Vertices[[#Headers],[Vertex]:[Top Word Pairs in Comment by Salience]],0),FALSE)</f>
        <v>598</v>
      </c>
    </row>
    <row r="469" spans="1:3" ht="15">
      <c r="A469" s="82" t="s">
        <v>3386</v>
      </c>
      <c r="B469" s="84" t="s">
        <v>791</v>
      </c>
      <c r="C469" s="81">
        <f>VLOOKUP("~"&amp;GroupVertices[[#This Row],[Vertex]],Vertices[],MATCH("ID",Vertices[[#Headers],[Vertex]:[Top Word Pairs in Comment by Salience]],0),FALSE)</f>
        <v>16</v>
      </c>
    </row>
    <row r="470" spans="1:3" ht="15">
      <c r="A470" s="82" t="s">
        <v>3386</v>
      </c>
      <c r="B470" s="84" t="s">
        <v>790</v>
      </c>
      <c r="C470" s="81">
        <f>VLOOKUP("~"&amp;GroupVertices[[#This Row],[Vertex]],Vertices[],MATCH("ID",Vertices[[#Headers],[Vertex]:[Top Word Pairs in Comment by Salience]],0),FALSE)</f>
        <v>597</v>
      </c>
    </row>
    <row r="471" spans="1:3" ht="15">
      <c r="A471" s="82" t="s">
        <v>3386</v>
      </c>
      <c r="B471" s="84" t="s">
        <v>789</v>
      </c>
      <c r="C471" s="81">
        <f>VLOOKUP("~"&amp;GroupVertices[[#This Row],[Vertex]],Vertices[],MATCH("ID",Vertices[[#Headers],[Vertex]:[Top Word Pairs in Comment by Salience]],0),FALSE)</f>
        <v>596</v>
      </c>
    </row>
    <row r="472" spans="1:3" ht="15">
      <c r="A472" s="82" t="s">
        <v>3386</v>
      </c>
      <c r="B472" s="84" t="s">
        <v>788</v>
      </c>
      <c r="C472" s="81">
        <f>VLOOKUP("~"&amp;GroupVertices[[#This Row],[Vertex]],Vertices[],MATCH("ID",Vertices[[#Headers],[Vertex]:[Top Word Pairs in Comment by Salience]],0),FALSE)</f>
        <v>595</v>
      </c>
    </row>
    <row r="473" spans="1:3" ht="15">
      <c r="A473" s="82" t="s">
        <v>3386</v>
      </c>
      <c r="B473" s="84" t="s">
        <v>787</v>
      </c>
      <c r="C473" s="81">
        <f>VLOOKUP("~"&amp;GroupVertices[[#This Row],[Vertex]],Vertices[],MATCH("ID",Vertices[[#Headers],[Vertex]:[Top Word Pairs in Comment by Salience]],0),FALSE)</f>
        <v>594</v>
      </c>
    </row>
    <row r="474" spans="1:3" ht="15">
      <c r="A474" s="82" t="s">
        <v>3386</v>
      </c>
      <c r="B474" s="84" t="s">
        <v>786</v>
      </c>
      <c r="C474" s="81">
        <f>VLOOKUP("~"&amp;GroupVertices[[#This Row],[Vertex]],Vertices[],MATCH("ID",Vertices[[#Headers],[Vertex]:[Top Word Pairs in Comment by Salience]],0),FALSE)</f>
        <v>593</v>
      </c>
    </row>
    <row r="475" spans="1:3" ht="15">
      <c r="A475" s="82" t="s">
        <v>3386</v>
      </c>
      <c r="B475" s="84" t="s">
        <v>785</v>
      </c>
      <c r="C475" s="81">
        <f>VLOOKUP("~"&amp;GroupVertices[[#This Row],[Vertex]],Vertices[],MATCH("ID",Vertices[[#Headers],[Vertex]:[Top Word Pairs in Comment by Salience]],0),FALSE)</f>
        <v>592</v>
      </c>
    </row>
    <row r="476" spans="1:3" ht="15">
      <c r="A476" s="82" t="s">
        <v>3386</v>
      </c>
      <c r="B476" s="84" t="s">
        <v>784</v>
      </c>
      <c r="C476" s="81">
        <f>VLOOKUP("~"&amp;GroupVertices[[#This Row],[Vertex]],Vertices[],MATCH("ID",Vertices[[#Headers],[Vertex]:[Top Word Pairs in Comment by Salience]],0),FALSE)</f>
        <v>591</v>
      </c>
    </row>
    <row r="477" spans="1:3" ht="15">
      <c r="A477" s="82" t="s">
        <v>3386</v>
      </c>
      <c r="B477" s="84" t="s">
        <v>783</v>
      </c>
      <c r="C477" s="81">
        <f>VLOOKUP("~"&amp;GroupVertices[[#This Row],[Vertex]],Vertices[],MATCH("ID",Vertices[[#Headers],[Vertex]:[Top Word Pairs in Comment by Salience]],0),FALSE)</f>
        <v>590</v>
      </c>
    </row>
    <row r="478" spans="1:3" ht="15">
      <c r="A478" s="82" t="s">
        <v>3386</v>
      </c>
      <c r="B478" s="84" t="s">
        <v>782</v>
      </c>
      <c r="C478" s="81">
        <f>VLOOKUP("~"&amp;GroupVertices[[#This Row],[Vertex]],Vertices[],MATCH("ID",Vertices[[#Headers],[Vertex]:[Top Word Pairs in Comment by Salience]],0),FALSE)</f>
        <v>589</v>
      </c>
    </row>
    <row r="479" spans="1:3" ht="15">
      <c r="A479" s="82" t="s">
        <v>3386</v>
      </c>
      <c r="B479" s="84" t="s">
        <v>781</v>
      </c>
      <c r="C479" s="81">
        <f>VLOOKUP("~"&amp;GroupVertices[[#This Row],[Vertex]],Vertices[],MATCH("ID",Vertices[[#Headers],[Vertex]:[Top Word Pairs in Comment by Salience]],0),FALSE)</f>
        <v>588</v>
      </c>
    </row>
    <row r="480" spans="1:3" ht="15">
      <c r="A480" s="82" t="s">
        <v>3386</v>
      </c>
      <c r="B480" s="84" t="s">
        <v>780</v>
      </c>
      <c r="C480" s="81">
        <f>VLOOKUP("~"&amp;GroupVertices[[#This Row],[Vertex]],Vertices[],MATCH("ID",Vertices[[#Headers],[Vertex]:[Top Word Pairs in Comment by Salience]],0),FALSE)</f>
        <v>587</v>
      </c>
    </row>
    <row r="481" spans="1:3" ht="15">
      <c r="A481" s="82" t="s">
        <v>3386</v>
      </c>
      <c r="B481" s="84" t="s">
        <v>779</v>
      </c>
      <c r="C481" s="81">
        <f>VLOOKUP("~"&amp;GroupVertices[[#This Row],[Vertex]],Vertices[],MATCH("ID",Vertices[[#Headers],[Vertex]:[Top Word Pairs in Comment by Salience]],0),FALSE)</f>
        <v>586</v>
      </c>
    </row>
    <row r="482" spans="1:3" ht="15">
      <c r="A482" s="82" t="s">
        <v>3386</v>
      </c>
      <c r="B482" s="84" t="s">
        <v>778</v>
      </c>
      <c r="C482" s="81">
        <f>VLOOKUP("~"&amp;GroupVertices[[#This Row],[Vertex]],Vertices[],MATCH("ID",Vertices[[#Headers],[Vertex]:[Top Word Pairs in Comment by Salience]],0),FALSE)</f>
        <v>585</v>
      </c>
    </row>
    <row r="483" spans="1:3" ht="15">
      <c r="A483" s="82" t="s">
        <v>3386</v>
      </c>
      <c r="B483" s="84" t="s">
        <v>777</v>
      </c>
      <c r="C483" s="81">
        <f>VLOOKUP("~"&amp;GroupVertices[[#This Row],[Vertex]],Vertices[],MATCH("ID",Vertices[[#Headers],[Vertex]:[Top Word Pairs in Comment by Salience]],0),FALSE)</f>
        <v>584</v>
      </c>
    </row>
    <row r="484" spans="1:3" ht="15">
      <c r="A484" s="82" t="s">
        <v>3386</v>
      </c>
      <c r="B484" s="84" t="s">
        <v>776</v>
      </c>
      <c r="C484" s="81">
        <f>VLOOKUP("~"&amp;GroupVertices[[#This Row],[Vertex]],Vertices[],MATCH("ID",Vertices[[#Headers],[Vertex]:[Top Word Pairs in Comment by Salience]],0),FALSE)</f>
        <v>583</v>
      </c>
    </row>
    <row r="485" spans="1:3" ht="15">
      <c r="A485" s="82" t="s">
        <v>3386</v>
      </c>
      <c r="B485" s="84" t="s">
        <v>775</v>
      </c>
      <c r="C485" s="81">
        <f>VLOOKUP("~"&amp;GroupVertices[[#This Row],[Vertex]],Vertices[],MATCH("ID",Vertices[[#Headers],[Vertex]:[Top Word Pairs in Comment by Salience]],0),FALSE)</f>
        <v>582</v>
      </c>
    </row>
    <row r="486" spans="1:3" ht="15">
      <c r="A486" s="82" t="s">
        <v>3386</v>
      </c>
      <c r="B486" s="84" t="s">
        <v>774</v>
      </c>
      <c r="C486" s="81">
        <f>VLOOKUP("~"&amp;GroupVertices[[#This Row],[Vertex]],Vertices[],MATCH("ID",Vertices[[#Headers],[Vertex]:[Top Word Pairs in Comment by Salience]],0),FALSE)</f>
        <v>581</v>
      </c>
    </row>
    <row r="487" spans="1:3" ht="15">
      <c r="A487" s="82" t="s">
        <v>3386</v>
      </c>
      <c r="B487" s="84" t="s">
        <v>773</v>
      </c>
      <c r="C487" s="81">
        <f>VLOOKUP("~"&amp;GroupVertices[[#This Row],[Vertex]],Vertices[],MATCH("ID",Vertices[[#Headers],[Vertex]:[Top Word Pairs in Comment by Salience]],0),FALSE)</f>
        <v>580</v>
      </c>
    </row>
    <row r="488" spans="1:3" ht="15">
      <c r="A488" s="82" t="s">
        <v>3386</v>
      </c>
      <c r="B488" s="84" t="s">
        <v>772</v>
      </c>
      <c r="C488" s="81">
        <f>VLOOKUP("~"&amp;GroupVertices[[#This Row],[Vertex]],Vertices[],MATCH("ID",Vertices[[#Headers],[Vertex]:[Top Word Pairs in Comment by Salience]],0),FALSE)</f>
        <v>579</v>
      </c>
    </row>
    <row r="489" spans="1:3" ht="15">
      <c r="A489" s="82" t="s">
        <v>3386</v>
      </c>
      <c r="B489" s="84" t="s">
        <v>771</v>
      </c>
      <c r="C489" s="81">
        <f>VLOOKUP("~"&amp;GroupVertices[[#This Row],[Vertex]],Vertices[],MATCH("ID",Vertices[[#Headers],[Vertex]:[Top Word Pairs in Comment by Salience]],0),FALSE)</f>
        <v>578</v>
      </c>
    </row>
    <row r="490" spans="1:3" ht="15">
      <c r="A490" s="82" t="s">
        <v>3386</v>
      </c>
      <c r="B490" s="84" t="s">
        <v>770</v>
      </c>
      <c r="C490" s="81">
        <f>VLOOKUP("~"&amp;GroupVertices[[#This Row],[Vertex]],Vertices[],MATCH("ID",Vertices[[#Headers],[Vertex]:[Top Word Pairs in Comment by Salience]],0),FALSE)</f>
        <v>577</v>
      </c>
    </row>
    <row r="491" spans="1:3" ht="15">
      <c r="A491" s="82" t="s">
        <v>3386</v>
      </c>
      <c r="B491" s="84" t="s">
        <v>769</v>
      </c>
      <c r="C491" s="81">
        <f>VLOOKUP("~"&amp;GroupVertices[[#This Row],[Vertex]],Vertices[],MATCH("ID",Vertices[[#Headers],[Vertex]:[Top Word Pairs in Comment by Salience]],0),FALSE)</f>
        <v>18</v>
      </c>
    </row>
    <row r="492" spans="1:3" ht="15">
      <c r="A492" s="82" t="s">
        <v>3386</v>
      </c>
      <c r="B492" s="84" t="s">
        <v>768</v>
      </c>
      <c r="C492" s="81">
        <f>VLOOKUP("~"&amp;GroupVertices[[#This Row],[Vertex]],Vertices[],MATCH("ID",Vertices[[#Headers],[Vertex]:[Top Word Pairs in Comment by Salience]],0),FALSE)</f>
        <v>576</v>
      </c>
    </row>
    <row r="493" spans="1:3" ht="15">
      <c r="A493" s="82" t="s">
        <v>3386</v>
      </c>
      <c r="B493" s="84" t="s">
        <v>767</v>
      </c>
      <c r="C493" s="81">
        <f>VLOOKUP("~"&amp;GroupVertices[[#This Row],[Vertex]],Vertices[],MATCH("ID",Vertices[[#Headers],[Vertex]:[Top Word Pairs in Comment by Salience]],0),FALSE)</f>
        <v>575</v>
      </c>
    </row>
    <row r="494" spans="1:3" ht="15">
      <c r="A494" s="82" t="s">
        <v>3386</v>
      </c>
      <c r="B494" s="84" t="s">
        <v>766</v>
      </c>
      <c r="C494" s="81">
        <f>VLOOKUP("~"&amp;GroupVertices[[#This Row],[Vertex]],Vertices[],MATCH("ID",Vertices[[#Headers],[Vertex]:[Top Word Pairs in Comment by Salience]],0),FALSE)</f>
        <v>574</v>
      </c>
    </row>
    <row r="495" spans="1:3" ht="15">
      <c r="A495" s="82" t="s">
        <v>3386</v>
      </c>
      <c r="B495" s="84" t="s">
        <v>765</v>
      </c>
      <c r="C495" s="81">
        <f>VLOOKUP("~"&amp;GroupVertices[[#This Row],[Vertex]],Vertices[],MATCH("ID",Vertices[[#Headers],[Vertex]:[Top Word Pairs in Comment by Salience]],0),FALSE)</f>
        <v>573</v>
      </c>
    </row>
    <row r="496" spans="1:3" ht="15">
      <c r="A496" s="82" t="s">
        <v>3386</v>
      </c>
      <c r="B496" s="84" t="s">
        <v>764</v>
      </c>
      <c r="C496" s="81">
        <f>VLOOKUP("~"&amp;GroupVertices[[#This Row],[Vertex]],Vertices[],MATCH("ID",Vertices[[#Headers],[Vertex]:[Top Word Pairs in Comment by Salience]],0),FALSE)</f>
        <v>572</v>
      </c>
    </row>
    <row r="497" spans="1:3" ht="15">
      <c r="A497" s="82" t="s">
        <v>3386</v>
      </c>
      <c r="B497" s="84" t="s">
        <v>763</v>
      </c>
      <c r="C497" s="81">
        <f>VLOOKUP("~"&amp;GroupVertices[[#This Row],[Vertex]],Vertices[],MATCH("ID",Vertices[[#Headers],[Vertex]:[Top Word Pairs in Comment by Salience]],0),FALSE)</f>
        <v>571</v>
      </c>
    </row>
    <row r="498" spans="1:3" ht="15">
      <c r="A498" s="82" t="s">
        <v>3386</v>
      </c>
      <c r="B498" s="84" t="s">
        <v>762</v>
      </c>
      <c r="C498" s="81">
        <f>VLOOKUP("~"&amp;GroupVertices[[#This Row],[Vertex]],Vertices[],MATCH("ID",Vertices[[#Headers],[Vertex]:[Top Word Pairs in Comment by Salience]],0),FALSE)</f>
        <v>570</v>
      </c>
    </row>
    <row r="499" spans="1:3" ht="15">
      <c r="A499" s="82" t="s">
        <v>3386</v>
      </c>
      <c r="B499" s="84" t="s">
        <v>761</v>
      </c>
      <c r="C499" s="81">
        <f>VLOOKUP("~"&amp;GroupVertices[[#This Row],[Vertex]],Vertices[],MATCH("ID",Vertices[[#Headers],[Vertex]:[Top Word Pairs in Comment by Salience]],0),FALSE)</f>
        <v>569</v>
      </c>
    </row>
    <row r="500" spans="1:3" ht="15">
      <c r="A500" s="82" t="s">
        <v>3386</v>
      </c>
      <c r="B500" s="84" t="s">
        <v>760</v>
      </c>
      <c r="C500" s="81">
        <f>VLOOKUP("~"&amp;GroupVertices[[#This Row],[Vertex]],Vertices[],MATCH("ID",Vertices[[#Headers],[Vertex]:[Top Word Pairs in Comment by Salience]],0),FALSE)</f>
        <v>568</v>
      </c>
    </row>
    <row r="501" spans="1:3" ht="15">
      <c r="A501" s="82" t="s">
        <v>3386</v>
      </c>
      <c r="B501" s="84" t="s">
        <v>759</v>
      </c>
      <c r="C501" s="81">
        <f>VLOOKUP("~"&amp;GroupVertices[[#This Row],[Vertex]],Vertices[],MATCH("ID",Vertices[[#Headers],[Vertex]:[Top Word Pairs in Comment by Salience]],0),FALSE)</f>
        <v>567</v>
      </c>
    </row>
    <row r="502" spans="1:3" ht="15">
      <c r="A502" s="82" t="s">
        <v>3386</v>
      </c>
      <c r="B502" s="84" t="s">
        <v>758</v>
      </c>
      <c r="C502" s="81">
        <f>VLOOKUP("~"&amp;GroupVertices[[#This Row],[Vertex]],Vertices[],MATCH("ID",Vertices[[#Headers],[Vertex]:[Top Word Pairs in Comment by Salience]],0),FALSE)</f>
        <v>566</v>
      </c>
    </row>
    <row r="503" spans="1:3" ht="15">
      <c r="A503" s="82" t="s">
        <v>3386</v>
      </c>
      <c r="B503" s="84" t="s">
        <v>757</v>
      </c>
      <c r="C503" s="81">
        <f>VLOOKUP("~"&amp;GroupVertices[[#This Row],[Vertex]],Vertices[],MATCH("ID",Vertices[[#Headers],[Vertex]:[Top Word Pairs in Comment by Salience]],0),FALSE)</f>
        <v>565</v>
      </c>
    </row>
    <row r="504" spans="1:3" ht="15">
      <c r="A504" s="82" t="s">
        <v>3386</v>
      </c>
      <c r="B504" s="84" t="s">
        <v>756</v>
      </c>
      <c r="C504" s="81">
        <f>VLOOKUP("~"&amp;GroupVertices[[#This Row],[Vertex]],Vertices[],MATCH("ID",Vertices[[#Headers],[Vertex]:[Top Word Pairs in Comment by Salience]],0),FALSE)</f>
        <v>564</v>
      </c>
    </row>
    <row r="505" spans="1:3" ht="15">
      <c r="A505" s="82" t="s">
        <v>3386</v>
      </c>
      <c r="B505" s="84" t="s">
        <v>755</v>
      </c>
      <c r="C505" s="81">
        <f>VLOOKUP("~"&amp;GroupVertices[[#This Row],[Vertex]],Vertices[],MATCH("ID",Vertices[[#Headers],[Vertex]:[Top Word Pairs in Comment by Salience]],0),FALSE)</f>
        <v>563</v>
      </c>
    </row>
    <row r="506" spans="1:3" ht="15">
      <c r="A506" s="82" t="s">
        <v>3386</v>
      </c>
      <c r="B506" s="84" t="s">
        <v>754</v>
      </c>
      <c r="C506" s="81">
        <f>VLOOKUP("~"&amp;GroupVertices[[#This Row],[Vertex]],Vertices[],MATCH("ID",Vertices[[#Headers],[Vertex]:[Top Word Pairs in Comment by Salience]],0),FALSE)</f>
        <v>562</v>
      </c>
    </row>
    <row r="507" spans="1:3" ht="15">
      <c r="A507" s="82" t="s">
        <v>3386</v>
      </c>
      <c r="B507" s="84" t="s">
        <v>753</v>
      </c>
      <c r="C507" s="81">
        <f>VLOOKUP("~"&amp;GroupVertices[[#This Row],[Vertex]],Vertices[],MATCH("ID",Vertices[[#Headers],[Vertex]:[Top Word Pairs in Comment by Salience]],0),FALSE)</f>
        <v>561</v>
      </c>
    </row>
    <row r="508" spans="1:3" ht="15">
      <c r="A508" s="82" t="s">
        <v>3386</v>
      </c>
      <c r="B508" s="84" t="s">
        <v>752</v>
      </c>
      <c r="C508" s="81">
        <f>VLOOKUP("~"&amp;GroupVertices[[#This Row],[Vertex]],Vertices[],MATCH("ID",Vertices[[#Headers],[Vertex]:[Top Word Pairs in Comment by Salience]],0),FALSE)</f>
        <v>560</v>
      </c>
    </row>
    <row r="509" spans="1:3" ht="15">
      <c r="A509" s="82" t="s">
        <v>3386</v>
      </c>
      <c r="B509" s="84" t="s">
        <v>751</v>
      </c>
      <c r="C509" s="81">
        <f>VLOOKUP("~"&amp;GroupVertices[[#This Row],[Vertex]],Vertices[],MATCH("ID",Vertices[[#Headers],[Vertex]:[Top Word Pairs in Comment by Salience]],0),FALSE)</f>
        <v>559</v>
      </c>
    </row>
    <row r="510" spans="1:3" ht="15">
      <c r="A510" s="82" t="s">
        <v>3386</v>
      </c>
      <c r="B510" s="84" t="s">
        <v>750</v>
      </c>
      <c r="C510" s="81">
        <f>VLOOKUP("~"&amp;GroupVertices[[#This Row],[Vertex]],Vertices[],MATCH("ID",Vertices[[#Headers],[Vertex]:[Top Word Pairs in Comment by Salience]],0),FALSE)</f>
        <v>558</v>
      </c>
    </row>
    <row r="511" spans="1:3" ht="15">
      <c r="A511" s="82" t="s">
        <v>3386</v>
      </c>
      <c r="B511" s="84" t="s">
        <v>749</v>
      </c>
      <c r="C511" s="81">
        <f>VLOOKUP("~"&amp;GroupVertices[[#This Row],[Vertex]],Vertices[],MATCH("ID",Vertices[[#Headers],[Vertex]:[Top Word Pairs in Comment by Salience]],0),FALSE)</f>
        <v>557</v>
      </c>
    </row>
    <row r="512" spans="1:3" ht="15">
      <c r="A512" s="82" t="s">
        <v>3386</v>
      </c>
      <c r="B512" s="84" t="s">
        <v>748</v>
      </c>
      <c r="C512" s="81">
        <f>VLOOKUP("~"&amp;GroupVertices[[#This Row],[Vertex]],Vertices[],MATCH("ID",Vertices[[#Headers],[Vertex]:[Top Word Pairs in Comment by Salience]],0),FALSE)</f>
        <v>556</v>
      </c>
    </row>
    <row r="513" spans="1:3" ht="15">
      <c r="A513" s="82" t="s">
        <v>3386</v>
      </c>
      <c r="B513" s="84" t="s">
        <v>747</v>
      </c>
      <c r="C513" s="81">
        <f>VLOOKUP("~"&amp;GroupVertices[[#This Row],[Vertex]],Vertices[],MATCH("ID",Vertices[[#Headers],[Vertex]:[Top Word Pairs in Comment by Salience]],0),FALSE)</f>
        <v>555</v>
      </c>
    </row>
    <row r="514" spans="1:3" ht="15">
      <c r="A514" s="82" t="s">
        <v>3386</v>
      </c>
      <c r="B514" s="84" t="s">
        <v>746</v>
      </c>
      <c r="C514" s="81">
        <f>VLOOKUP("~"&amp;GroupVertices[[#This Row],[Vertex]],Vertices[],MATCH("ID",Vertices[[#Headers],[Vertex]:[Top Word Pairs in Comment by Salience]],0),FALSE)</f>
        <v>554</v>
      </c>
    </row>
    <row r="515" spans="1:3" ht="15">
      <c r="A515" s="82" t="s">
        <v>3386</v>
      </c>
      <c r="B515" s="84" t="s">
        <v>745</v>
      </c>
      <c r="C515" s="81">
        <f>VLOOKUP("~"&amp;GroupVertices[[#This Row],[Vertex]],Vertices[],MATCH("ID",Vertices[[#Headers],[Vertex]:[Top Word Pairs in Comment by Salience]],0),FALSE)</f>
        <v>553</v>
      </c>
    </row>
    <row r="516" spans="1:3" ht="15">
      <c r="A516" s="82" t="s">
        <v>3386</v>
      </c>
      <c r="B516" s="84" t="s">
        <v>744</v>
      </c>
      <c r="C516" s="81">
        <f>VLOOKUP("~"&amp;GroupVertices[[#This Row],[Vertex]],Vertices[],MATCH("ID",Vertices[[#Headers],[Vertex]:[Top Word Pairs in Comment by Salience]],0),FALSE)</f>
        <v>552</v>
      </c>
    </row>
    <row r="517" spans="1:3" ht="15">
      <c r="A517" s="82" t="s">
        <v>3386</v>
      </c>
      <c r="B517" s="84" t="s">
        <v>743</v>
      </c>
      <c r="C517" s="81">
        <f>VLOOKUP("~"&amp;GroupVertices[[#This Row],[Vertex]],Vertices[],MATCH("ID",Vertices[[#Headers],[Vertex]:[Top Word Pairs in Comment by Salience]],0),FALSE)</f>
        <v>551</v>
      </c>
    </row>
    <row r="518" spans="1:3" ht="15">
      <c r="A518" s="82" t="s">
        <v>3386</v>
      </c>
      <c r="B518" s="84" t="s">
        <v>742</v>
      </c>
      <c r="C518" s="81">
        <f>VLOOKUP("~"&amp;GroupVertices[[#This Row],[Vertex]],Vertices[],MATCH("ID",Vertices[[#Headers],[Vertex]:[Top Word Pairs in Comment by Salience]],0),FALSE)</f>
        <v>550</v>
      </c>
    </row>
    <row r="519" spans="1:3" ht="15">
      <c r="A519" s="82" t="s">
        <v>3386</v>
      </c>
      <c r="B519" s="84" t="s">
        <v>741</v>
      </c>
      <c r="C519" s="81">
        <f>VLOOKUP("~"&amp;GroupVertices[[#This Row],[Vertex]],Vertices[],MATCH("ID",Vertices[[#Headers],[Vertex]:[Top Word Pairs in Comment by Salience]],0),FALSE)</f>
        <v>549</v>
      </c>
    </row>
    <row r="520" spans="1:3" ht="15">
      <c r="A520" s="82" t="s">
        <v>3386</v>
      </c>
      <c r="B520" s="84" t="s">
        <v>740</v>
      </c>
      <c r="C520" s="81">
        <f>VLOOKUP("~"&amp;GroupVertices[[#This Row],[Vertex]],Vertices[],MATCH("ID",Vertices[[#Headers],[Vertex]:[Top Word Pairs in Comment by Salience]],0),FALSE)</f>
        <v>548</v>
      </c>
    </row>
    <row r="521" spans="1:3" ht="15">
      <c r="A521" s="82" t="s">
        <v>3386</v>
      </c>
      <c r="B521" s="84" t="s">
        <v>739</v>
      </c>
      <c r="C521" s="81">
        <f>VLOOKUP("~"&amp;GroupVertices[[#This Row],[Vertex]],Vertices[],MATCH("ID",Vertices[[#Headers],[Vertex]:[Top Word Pairs in Comment by Salience]],0),FALSE)</f>
        <v>547</v>
      </c>
    </row>
    <row r="522" spans="1:3" ht="15">
      <c r="A522" s="82" t="s">
        <v>3386</v>
      </c>
      <c r="B522" s="84" t="s">
        <v>738</v>
      </c>
      <c r="C522" s="81">
        <f>VLOOKUP("~"&amp;GroupVertices[[#This Row],[Vertex]],Vertices[],MATCH("ID",Vertices[[#Headers],[Vertex]:[Top Word Pairs in Comment by Salience]],0),FALSE)</f>
        <v>546</v>
      </c>
    </row>
    <row r="523" spans="1:3" ht="15">
      <c r="A523" s="82" t="s">
        <v>3386</v>
      </c>
      <c r="B523" s="84" t="s">
        <v>737</v>
      </c>
      <c r="C523" s="81">
        <f>VLOOKUP("~"&amp;GroupVertices[[#This Row],[Vertex]],Vertices[],MATCH("ID",Vertices[[#Headers],[Vertex]:[Top Word Pairs in Comment by Salience]],0),FALSE)</f>
        <v>545</v>
      </c>
    </row>
    <row r="524" spans="1:3" ht="15">
      <c r="A524" s="82" t="s">
        <v>3386</v>
      </c>
      <c r="B524" s="84" t="s">
        <v>736</v>
      </c>
      <c r="C524" s="81">
        <f>VLOOKUP("~"&amp;GroupVertices[[#This Row],[Vertex]],Vertices[],MATCH("ID",Vertices[[#Headers],[Vertex]:[Top Word Pairs in Comment by Salience]],0),FALSE)</f>
        <v>544</v>
      </c>
    </row>
    <row r="525" spans="1:3" ht="15">
      <c r="A525" s="82" t="s">
        <v>3386</v>
      </c>
      <c r="B525" s="84" t="s">
        <v>735</v>
      </c>
      <c r="C525" s="81">
        <f>VLOOKUP("~"&amp;GroupVertices[[#This Row],[Vertex]],Vertices[],MATCH("ID",Vertices[[#Headers],[Vertex]:[Top Word Pairs in Comment by Salience]],0),FALSE)</f>
        <v>543</v>
      </c>
    </row>
    <row r="526" spans="1:3" ht="15">
      <c r="A526" s="82" t="s">
        <v>3386</v>
      </c>
      <c r="B526" s="84" t="s">
        <v>734</v>
      </c>
      <c r="C526" s="81">
        <f>VLOOKUP("~"&amp;GroupVertices[[#This Row],[Vertex]],Vertices[],MATCH("ID",Vertices[[#Headers],[Vertex]:[Top Word Pairs in Comment by Salience]],0),FALSE)</f>
        <v>542</v>
      </c>
    </row>
    <row r="527" spans="1:3" ht="15">
      <c r="A527" s="82" t="s">
        <v>3386</v>
      </c>
      <c r="B527" s="84" t="s">
        <v>733</v>
      </c>
      <c r="C527" s="81">
        <f>VLOOKUP("~"&amp;GroupVertices[[#This Row],[Vertex]],Vertices[],MATCH("ID",Vertices[[#Headers],[Vertex]:[Top Word Pairs in Comment by Salience]],0),FALSE)</f>
        <v>541</v>
      </c>
    </row>
    <row r="528" spans="1:3" ht="15">
      <c r="A528" s="82" t="s">
        <v>3386</v>
      </c>
      <c r="B528" s="84" t="s">
        <v>732</v>
      </c>
      <c r="C528" s="81">
        <f>VLOOKUP("~"&amp;GroupVertices[[#This Row],[Vertex]],Vertices[],MATCH("ID",Vertices[[#Headers],[Vertex]:[Top Word Pairs in Comment by Salience]],0),FALSE)</f>
        <v>540</v>
      </c>
    </row>
    <row r="529" spans="1:3" ht="15">
      <c r="A529" s="82" t="s">
        <v>3386</v>
      </c>
      <c r="B529" s="84" t="s">
        <v>731</v>
      </c>
      <c r="C529" s="81">
        <f>VLOOKUP("~"&amp;GroupVertices[[#This Row],[Vertex]],Vertices[],MATCH("ID",Vertices[[#Headers],[Vertex]:[Top Word Pairs in Comment by Salience]],0),FALSE)</f>
        <v>539</v>
      </c>
    </row>
    <row r="530" spans="1:3" ht="15">
      <c r="A530" s="82" t="s">
        <v>3386</v>
      </c>
      <c r="B530" s="84" t="s">
        <v>730</v>
      </c>
      <c r="C530" s="81">
        <f>VLOOKUP("~"&amp;GroupVertices[[#This Row],[Vertex]],Vertices[],MATCH("ID",Vertices[[#Headers],[Vertex]:[Top Word Pairs in Comment by Salience]],0),FALSE)</f>
        <v>538</v>
      </c>
    </row>
    <row r="531" spans="1:3" ht="15">
      <c r="A531" s="82" t="s">
        <v>3386</v>
      </c>
      <c r="B531" s="84" t="s">
        <v>729</v>
      </c>
      <c r="C531" s="81">
        <f>VLOOKUP("~"&amp;GroupVertices[[#This Row],[Vertex]],Vertices[],MATCH("ID",Vertices[[#Headers],[Vertex]:[Top Word Pairs in Comment by Salience]],0),FALSE)</f>
        <v>537</v>
      </c>
    </row>
    <row r="532" spans="1:3" ht="15">
      <c r="A532" s="82" t="s">
        <v>3386</v>
      </c>
      <c r="B532" s="84" t="s">
        <v>728</v>
      </c>
      <c r="C532" s="81">
        <f>VLOOKUP("~"&amp;GroupVertices[[#This Row],[Vertex]],Vertices[],MATCH("ID",Vertices[[#Headers],[Vertex]:[Top Word Pairs in Comment by Salience]],0),FALSE)</f>
        <v>536</v>
      </c>
    </row>
    <row r="533" spans="1:3" ht="15">
      <c r="A533" s="82" t="s">
        <v>3386</v>
      </c>
      <c r="B533" s="84" t="s">
        <v>727</v>
      </c>
      <c r="C533" s="81">
        <f>VLOOKUP("~"&amp;GroupVertices[[#This Row],[Vertex]],Vertices[],MATCH("ID",Vertices[[#Headers],[Vertex]:[Top Word Pairs in Comment by Salience]],0),FALSE)</f>
        <v>535</v>
      </c>
    </row>
    <row r="534" spans="1:3" ht="15">
      <c r="A534" s="82" t="s">
        <v>3386</v>
      </c>
      <c r="B534" s="84" t="s">
        <v>726</v>
      </c>
      <c r="C534" s="81">
        <f>VLOOKUP("~"&amp;GroupVertices[[#This Row],[Vertex]],Vertices[],MATCH("ID",Vertices[[#Headers],[Vertex]:[Top Word Pairs in Comment by Salience]],0),FALSE)</f>
        <v>534</v>
      </c>
    </row>
    <row r="535" spans="1:3" ht="15">
      <c r="A535" s="82" t="s">
        <v>3386</v>
      </c>
      <c r="B535" s="84" t="s">
        <v>725</v>
      </c>
      <c r="C535" s="81">
        <f>VLOOKUP("~"&amp;GroupVertices[[#This Row],[Vertex]],Vertices[],MATCH("ID",Vertices[[#Headers],[Vertex]:[Top Word Pairs in Comment by Salience]],0),FALSE)</f>
        <v>533</v>
      </c>
    </row>
    <row r="536" spans="1:3" ht="15">
      <c r="A536" s="82" t="s">
        <v>3386</v>
      </c>
      <c r="B536" s="84" t="s">
        <v>724</v>
      </c>
      <c r="C536" s="81">
        <f>VLOOKUP("~"&amp;GroupVertices[[#This Row],[Vertex]],Vertices[],MATCH("ID",Vertices[[#Headers],[Vertex]:[Top Word Pairs in Comment by Salience]],0),FALSE)</f>
        <v>532</v>
      </c>
    </row>
    <row r="537" spans="1:3" ht="15">
      <c r="A537" s="82" t="s">
        <v>3386</v>
      </c>
      <c r="B537" s="84" t="s">
        <v>723</v>
      </c>
      <c r="C537" s="81">
        <f>VLOOKUP("~"&amp;GroupVertices[[#This Row],[Vertex]],Vertices[],MATCH("ID",Vertices[[#Headers],[Vertex]:[Top Word Pairs in Comment by Salience]],0),FALSE)</f>
        <v>531</v>
      </c>
    </row>
    <row r="538" spans="1:3" ht="15">
      <c r="A538" s="82" t="s">
        <v>3386</v>
      </c>
      <c r="B538" s="84" t="s">
        <v>722</v>
      </c>
      <c r="C538" s="81">
        <f>VLOOKUP("~"&amp;GroupVertices[[#This Row],[Vertex]],Vertices[],MATCH("ID",Vertices[[#Headers],[Vertex]:[Top Word Pairs in Comment by Salience]],0),FALSE)</f>
        <v>530</v>
      </c>
    </row>
    <row r="539" spans="1:3" ht="15">
      <c r="A539" s="82" t="s">
        <v>3386</v>
      </c>
      <c r="B539" s="84" t="s">
        <v>721</v>
      </c>
      <c r="C539" s="81">
        <f>VLOOKUP("~"&amp;GroupVertices[[#This Row],[Vertex]],Vertices[],MATCH("ID",Vertices[[#Headers],[Vertex]:[Top Word Pairs in Comment by Salience]],0),FALSE)</f>
        <v>529</v>
      </c>
    </row>
    <row r="540" spans="1:3" ht="15">
      <c r="A540" s="82" t="s">
        <v>3386</v>
      </c>
      <c r="B540" s="84" t="s">
        <v>720</v>
      </c>
      <c r="C540" s="81">
        <f>VLOOKUP("~"&amp;GroupVertices[[#This Row],[Vertex]],Vertices[],MATCH("ID",Vertices[[#Headers],[Vertex]:[Top Word Pairs in Comment by Salience]],0),FALSE)</f>
        <v>528</v>
      </c>
    </row>
    <row r="541" spans="1:3" ht="15">
      <c r="A541" s="82" t="s">
        <v>3386</v>
      </c>
      <c r="B541" s="84" t="s">
        <v>719</v>
      </c>
      <c r="C541" s="81">
        <f>VLOOKUP("~"&amp;GroupVertices[[#This Row],[Vertex]],Vertices[],MATCH("ID",Vertices[[#Headers],[Vertex]:[Top Word Pairs in Comment by Salience]],0),FALSE)</f>
        <v>527</v>
      </c>
    </row>
    <row r="542" spans="1:3" ht="15">
      <c r="A542" s="82" t="s">
        <v>3386</v>
      </c>
      <c r="B542" s="84" t="s">
        <v>718</v>
      </c>
      <c r="C542" s="81">
        <f>VLOOKUP("~"&amp;GroupVertices[[#This Row],[Vertex]],Vertices[],MATCH("ID",Vertices[[#Headers],[Vertex]:[Top Word Pairs in Comment by Salience]],0),FALSE)</f>
        <v>526</v>
      </c>
    </row>
    <row r="543" spans="1:3" ht="15">
      <c r="A543" s="82" t="s">
        <v>3387</v>
      </c>
      <c r="B543" s="84" t="s">
        <v>901</v>
      </c>
      <c r="C543" s="81">
        <f>VLOOKUP("~"&amp;GroupVertices[[#This Row],[Vertex]],Vertices[],MATCH("ID",Vertices[[#Headers],[Vertex]:[Top Word Pairs in Comment by Salience]],0),FALSE)</f>
        <v>3</v>
      </c>
    </row>
    <row r="544" spans="1:3" ht="15">
      <c r="A544" s="82" t="s">
        <v>3387</v>
      </c>
      <c r="B544" s="84" t="s">
        <v>683</v>
      </c>
      <c r="C544" s="81">
        <f>VLOOKUP("~"&amp;GroupVertices[[#This Row],[Vertex]],Vertices[],MATCH("ID",Vertices[[#Headers],[Vertex]:[Top Word Pairs in Comment by Salience]],0),FALSE)</f>
        <v>10</v>
      </c>
    </row>
    <row r="545" spans="1:3" ht="15">
      <c r="A545" s="82" t="s">
        <v>3387</v>
      </c>
      <c r="B545" s="84" t="s">
        <v>465</v>
      </c>
      <c r="C545" s="81">
        <f>VLOOKUP("~"&amp;GroupVertices[[#This Row],[Vertex]],Vertices[],MATCH("ID",Vertices[[#Headers],[Vertex]:[Top Word Pairs in Comment by Salience]],0),FALSE)</f>
        <v>13</v>
      </c>
    </row>
    <row r="546" spans="1:3" ht="15">
      <c r="A546" s="82" t="s">
        <v>3387</v>
      </c>
      <c r="B546" s="84" t="s">
        <v>458</v>
      </c>
      <c r="C546" s="81">
        <f>VLOOKUP("~"&amp;GroupVertices[[#This Row],[Vertex]],Vertices[],MATCH("ID",Vertices[[#Headers],[Vertex]:[Top Word Pairs in Comment by Salience]],0),FALSE)</f>
        <v>12</v>
      </c>
    </row>
    <row r="547" spans="1:3" ht="15">
      <c r="A547" s="82" t="s">
        <v>3387</v>
      </c>
      <c r="B547" s="84" t="s">
        <v>351</v>
      </c>
      <c r="C547" s="81">
        <f>VLOOKUP("~"&amp;GroupVertices[[#This Row],[Vertex]],Vertices[],MATCH("ID",Vertices[[#Headers],[Vertex]:[Top Word Pairs in Comment by Salience]],0),FALSE)</f>
        <v>172</v>
      </c>
    </row>
    <row r="548" spans="1:3" ht="15">
      <c r="A548" s="82" t="s">
        <v>3387</v>
      </c>
      <c r="B548" s="84" t="s">
        <v>350</v>
      </c>
      <c r="C548" s="81">
        <f>VLOOKUP("~"&amp;GroupVertices[[#This Row],[Vertex]],Vertices[],MATCH("ID",Vertices[[#Headers],[Vertex]:[Top Word Pairs in Comment by Salience]],0),FALSE)</f>
        <v>171</v>
      </c>
    </row>
    <row r="549" spans="1:3" ht="15">
      <c r="A549" s="82" t="s">
        <v>3387</v>
      </c>
      <c r="B549" s="84" t="s">
        <v>349</v>
      </c>
      <c r="C549" s="81">
        <f>VLOOKUP("~"&amp;GroupVertices[[#This Row],[Vertex]],Vertices[],MATCH("ID",Vertices[[#Headers],[Vertex]:[Top Word Pairs in Comment by Salience]],0),FALSE)</f>
        <v>170</v>
      </c>
    </row>
    <row r="550" spans="1:3" ht="15">
      <c r="A550" s="82" t="s">
        <v>3387</v>
      </c>
      <c r="B550" s="84" t="s">
        <v>348</v>
      </c>
      <c r="C550" s="81">
        <f>VLOOKUP("~"&amp;GroupVertices[[#This Row],[Vertex]],Vertices[],MATCH("ID",Vertices[[#Headers],[Vertex]:[Top Word Pairs in Comment by Salience]],0),FALSE)</f>
        <v>169</v>
      </c>
    </row>
    <row r="551" spans="1:3" ht="15">
      <c r="A551" s="82" t="s">
        <v>3387</v>
      </c>
      <c r="B551" s="84" t="s">
        <v>347</v>
      </c>
      <c r="C551" s="81">
        <f>VLOOKUP("~"&amp;GroupVertices[[#This Row],[Vertex]],Vertices[],MATCH("ID",Vertices[[#Headers],[Vertex]:[Top Word Pairs in Comment by Salience]],0),FALSE)</f>
        <v>168</v>
      </c>
    </row>
    <row r="552" spans="1:3" ht="15">
      <c r="A552" s="82" t="s">
        <v>3387</v>
      </c>
      <c r="B552" s="84" t="s">
        <v>346</v>
      </c>
      <c r="C552" s="81">
        <f>VLOOKUP("~"&amp;GroupVertices[[#This Row],[Vertex]],Vertices[],MATCH("ID",Vertices[[#Headers],[Vertex]:[Top Word Pairs in Comment by Salience]],0),FALSE)</f>
        <v>167</v>
      </c>
    </row>
    <row r="553" spans="1:3" ht="15">
      <c r="A553" s="82" t="s">
        <v>3387</v>
      </c>
      <c r="B553" s="84" t="s">
        <v>345</v>
      </c>
      <c r="C553" s="81">
        <f>VLOOKUP("~"&amp;GroupVertices[[#This Row],[Vertex]],Vertices[],MATCH("ID",Vertices[[#Headers],[Vertex]:[Top Word Pairs in Comment by Salience]],0),FALSE)</f>
        <v>166</v>
      </c>
    </row>
    <row r="554" spans="1:3" ht="15">
      <c r="A554" s="82" t="s">
        <v>3387</v>
      </c>
      <c r="B554" s="84" t="s">
        <v>344</v>
      </c>
      <c r="C554" s="81">
        <f>VLOOKUP("~"&amp;GroupVertices[[#This Row],[Vertex]],Vertices[],MATCH("ID",Vertices[[#Headers],[Vertex]:[Top Word Pairs in Comment by Salience]],0),FALSE)</f>
        <v>165</v>
      </c>
    </row>
    <row r="555" spans="1:3" ht="15">
      <c r="A555" s="82" t="s">
        <v>3387</v>
      </c>
      <c r="B555" s="84" t="s">
        <v>343</v>
      </c>
      <c r="C555" s="81">
        <f>VLOOKUP("~"&amp;GroupVertices[[#This Row],[Vertex]],Vertices[],MATCH("ID",Vertices[[#Headers],[Vertex]:[Top Word Pairs in Comment by Salience]],0),FALSE)</f>
        <v>164</v>
      </c>
    </row>
    <row r="556" spans="1:3" ht="15">
      <c r="A556" s="82" t="s">
        <v>3387</v>
      </c>
      <c r="B556" s="84" t="s">
        <v>342</v>
      </c>
      <c r="C556" s="81">
        <f>VLOOKUP("~"&amp;GroupVertices[[#This Row],[Vertex]],Vertices[],MATCH("ID",Vertices[[#Headers],[Vertex]:[Top Word Pairs in Comment by Salience]],0),FALSE)</f>
        <v>163</v>
      </c>
    </row>
    <row r="557" spans="1:3" ht="15">
      <c r="A557" s="82" t="s">
        <v>3387</v>
      </c>
      <c r="B557" s="84" t="s">
        <v>341</v>
      </c>
      <c r="C557" s="81">
        <f>VLOOKUP("~"&amp;GroupVertices[[#This Row],[Vertex]],Vertices[],MATCH("ID",Vertices[[#Headers],[Vertex]:[Top Word Pairs in Comment by Salience]],0),FALSE)</f>
        <v>162</v>
      </c>
    </row>
    <row r="558" spans="1:3" ht="15">
      <c r="A558" s="82" t="s">
        <v>3387</v>
      </c>
      <c r="B558" s="84" t="s">
        <v>340</v>
      </c>
      <c r="C558" s="81">
        <f>VLOOKUP("~"&amp;GroupVertices[[#This Row],[Vertex]],Vertices[],MATCH("ID",Vertices[[#Headers],[Vertex]:[Top Word Pairs in Comment by Salience]],0),FALSE)</f>
        <v>161</v>
      </c>
    </row>
    <row r="559" spans="1:3" ht="15">
      <c r="A559" s="82" t="s">
        <v>3387</v>
      </c>
      <c r="B559" s="84" t="s">
        <v>339</v>
      </c>
      <c r="C559" s="81">
        <f>VLOOKUP("~"&amp;GroupVertices[[#This Row],[Vertex]],Vertices[],MATCH("ID",Vertices[[#Headers],[Vertex]:[Top Word Pairs in Comment by Salience]],0),FALSE)</f>
        <v>160</v>
      </c>
    </row>
    <row r="560" spans="1:3" ht="15">
      <c r="A560" s="82" t="s">
        <v>3387</v>
      </c>
      <c r="B560" s="84" t="s">
        <v>338</v>
      </c>
      <c r="C560" s="81">
        <f>VLOOKUP("~"&amp;GroupVertices[[#This Row],[Vertex]],Vertices[],MATCH("ID",Vertices[[#Headers],[Vertex]:[Top Word Pairs in Comment by Salience]],0),FALSE)</f>
        <v>159</v>
      </c>
    </row>
    <row r="561" spans="1:3" ht="15">
      <c r="A561" s="82" t="s">
        <v>3387</v>
      </c>
      <c r="B561" s="84" t="s">
        <v>337</v>
      </c>
      <c r="C561" s="81">
        <f>VLOOKUP("~"&amp;GroupVertices[[#This Row],[Vertex]],Vertices[],MATCH("ID",Vertices[[#Headers],[Vertex]:[Top Word Pairs in Comment by Salience]],0),FALSE)</f>
        <v>158</v>
      </c>
    </row>
    <row r="562" spans="1:3" ht="15">
      <c r="A562" s="82" t="s">
        <v>3387</v>
      </c>
      <c r="B562" s="84" t="s">
        <v>336</v>
      </c>
      <c r="C562" s="81">
        <f>VLOOKUP("~"&amp;GroupVertices[[#This Row],[Vertex]],Vertices[],MATCH("ID",Vertices[[#Headers],[Vertex]:[Top Word Pairs in Comment by Salience]],0),FALSE)</f>
        <v>157</v>
      </c>
    </row>
    <row r="563" spans="1:3" ht="15">
      <c r="A563" s="82" t="s">
        <v>3387</v>
      </c>
      <c r="B563" s="84" t="s">
        <v>335</v>
      </c>
      <c r="C563" s="81">
        <f>VLOOKUP("~"&amp;GroupVertices[[#This Row],[Vertex]],Vertices[],MATCH("ID",Vertices[[#Headers],[Vertex]:[Top Word Pairs in Comment by Salience]],0),FALSE)</f>
        <v>156</v>
      </c>
    </row>
    <row r="564" spans="1:3" ht="15">
      <c r="A564" s="82" t="s">
        <v>3387</v>
      </c>
      <c r="B564" s="84" t="s">
        <v>334</v>
      </c>
      <c r="C564" s="81">
        <f>VLOOKUP("~"&amp;GroupVertices[[#This Row],[Vertex]],Vertices[],MATCH("ID",Vertices[[#Headers],[Vertex]:[Top Word Pairs in Comment by Salience]],0),FALSE)</f>
        <v>155</v>
      </c>
    </row>
    <row r="565" spans="1:3" ht="15">
      <c r="A565" s="82" t="s">
        <v>3387</v>
      </c>
      <c r="B565" s="84" t="s">
        <v>333</v>
      </c>
      <c r="C565" s="81">
        <f>VLOOKUP("~"&amp;GroupVertices[[#This Row],[Vertex]],Vertices[],MATCH("ID",Vertices[[#Headers],[Vertex]:[Top Word Pairs in Comment by Salience]],0),FALSE)</f>
        <v>154</v>
      </c>
    </row>
    <row r="566" spans="1:3" ht="15">
      <c r="A566" s="82" t="s">
        <v>3387</v>
      </c>
      <c r="B566" s="84" t="s">
        <v>332</v>
      </c>
      <c r="C566" s="81">
        <f>VLOOKUP("~"&amp;GroupVertices[[#This Row],[Vertex]],Vertices[],MATCH("ID",Vertices[[#Headers],[Vertex]:[Top Word Pairs in Comment by Salience]],0),FALSE)</f>
        <v>153</v>
      </c>
    </row>
    <row r="567" spans="1:3" ht="15">
      <c r="A567" s="82" t="s">
        <v>3387</v>
      </c>
      <c r="B567" s="84" t="s">
        <v>331</v>
      </c>
      <c r="C567" s="81">
        <f>VLOOKUP("~"&amp;GroupVertices[[#This Row],[Vertex]],Vertices[],MATCH("ID",Vertices[[#Headers],[Vertex]:[Top Word Pairs in Comment by Salience]],0),FALSE)</f>
        <v>152</v>
      </c>
    </row>
    <row r="568" spans="1:3" ht="15">
      <c r="A568" s="82" t="s">
        <v>3387</v>
      </c>
      <c r="B568" s="84" t="s">
        <v>330</v>
      </c>
      <c r="C568" s="81">
        <f>VLOOKUP("~"&amp;GroupVertices[[#This Row],[Vertex]],Vertices[],MATCH("ID",Vertices[[#Headers],[Vertex]:[Top Word Pairs in Comment by Salience]],0),FALSE)</f>
        <v>151</v>
      </c>
    </row>
    <row r="569" spans="1:3" ht="15">
      <c r="A569" s="82" t="s">
        <v>3387</v>
      </c>
      <c r="B569" s="84" t="s">
        <v>329</v>
      </c>
      <c r="C569" s="81">
        <f>VLOOKUP("~"&amp;GroupVertices[[#This Row],[Vertex]],Vertices[],MATCH("ID",Vertices[[#Headers],[Vertex]:[Top Word Pairs in Comment by Salience]],0),FALSE)</f>
        <v>150</v>
      </c>
    </row>
    <row r="570" spans="1:3" ht="15">
      <c r="A570" s="82" t="s">
        <v>3387</v>
      </c>
      <c r="B570" s="84" t="s">
        <v>328</v>
      </c>
      <c r="C570" s="81">
        <f>VLOOKUP("~"&amp;GroupVertices[[#This Row],[Vertex]],Vertices[],MATCH("ID",Vertices[[#Headers],[Vertex]:[Top Word Pairs in Comment by Salience]],0),FALSE)</f>
        <v>149</v>
      </c>
    </row>
    <row r="571" spans="1:3" ht="15">
      <c r="A571" s="82" t="s">
        <v>3387</v>
      </c>
      <c r="B571" s="84" t="s">
        <v>327</v>
      </c>
      <c r="C571" s="81">
        <f>VLOOKUP("~"&amp;GroupVertices[[#This Row],[Vertex]],Vertices[],MATCH("ID",Vertices[[#Headers],[Vertex]:[Top Word Pairs in Comment by Salience]],0),FALSE)</f>
        <v>148</v>
      </c>
    </row>
    <row r="572" spans="1:3" ht="15">
      <c r="A572" s="82" t="s">
        <v>3387</v>
      </c>
      <c r="B572" s="84" t="s">
        <v>326</v>
      </c>
      <c r="C572" s="81">
        <f>VLOOKUP("~"&amp;GroupVertices[[#This Row],[Vertex]],Vertices[],MATCH("ID",Vertices[[#Headers],[Vertex]:[Top Word Pairs in Comment by Salience]],0),FALSE)</f>
        <v>147</v>
      </c>
    </row>
    <row r="573" spans="1:3" ht="15">
      <c r="A573" s="82" t="s">
        <v>3387</v>
      </c>
      <c r="B573" s="84" t="s">
        <v>325</v>
      </c>
      <c r="C573" s="81">
        <f>VLOOKUP("~"&amp;GroupVertices[[#This Row],[Vertex]],Vertices[],MATCH("ID",Vertices[[#Headers],[Vertex]:[Top Word Pairs in Comment by Salience]],0),FALSE)</f>
        <v>146</v>
      </c>
    </row>
    <row r="574" spans="1:3" ht="15">
      <c r="A574" s="82" t="s">
        <v>3387</v>
      </c>
      <c r="B574" s="84" t="s">
        <v>324</v>
      </c>
      <c r="C574" s="81">
        <f>VLOOKUP("~"&amp;GroupVertices[[#This Row],[Vertex]],Vertices[],MATCH("ID",Vertices[[#Headers],[Vertex]:[Top Word Pairs in Comment by Salience]],0),FALSE)</f>
        <v>145</v>
      </c>
    </row>
    <row r="575" spans="1:3" ht="15">
      <c r="A575" s="82" t="s">
        <v>3387</v>
      </c>
      <c r="B575" s="84" t="s">
        <v>323</v>
      </c>
      <c r="C575" s="81">
        <f>VLOOKUP("~"&amp;GroupVertices[[#This Row],[Vertex]],Vertices[],MATCH("ID",Vertices[[#Headers],[Vertex]:[Top Word Pairs in Comment by Salience]],0),FALSE)</f>
        <v>144</v>
      </c>
    </row>
    <row r="576" spans="1:3" ht="15">
      <c r="A576" s="82" t="s">
        <v>3387</v>
      </c>
      <c r="B576" s="84" t="s">
        <v>322</v>
      </c>
      <c r="C576" s="81">
        <f>VLOOKUP("~"&amp;GroupVertices[[#This Row],[Vertex]],Vertices[],MATCH("ID",Vertices[[#Headers],[Vertex]:[Top Word Pairs in Comment by Salience]],0),FALSE)</f>
        <v>143</v>
      </c>
    </row>
    <row r="577" spans="1:3" ht="15">
      <c r="A577" s="82" t="s">
        <v>3387</v>
      </c>
      <c r="B577" s="84" t="s">
        <v>321</v>
      </c>
      <c r="C577" s="81">
        <f>VLOOKUP("~"&amp;GroupVertices[[#This Row],[Vertex]],Vertices[],MATCH("ID",Vertices[[#Headers],[Vertex]:[Top Word Pairs in Comment by Salience]],0),FALSE)</f>
        <v>142</v>
      </c>
    </row>
    <row r="578" spans="1:3" ht="15">
      <c r="A578" s="82" t="s">
        <v>3387</v>
      </c>
      <c r="B578" s="84" t="s">
        <v>320</v>
      </c>
      <c r="C578" s="81">
        <f>VLOOKUP("~"&amp;GroupVertices[[#This Row],[Vertex]],Vertices[],MATCH("ID",Vertices[[#Headers],[Vertex]:[Top Word Pairs in Comment by Salience]],0),FALSE)</f>
        <v>141</v>
      </c>
    </row>
    <row r="579" spans="1:3" ht="15">
      <c r="A579" s="82" t="s">
        <v>3387</v>
      </c>
      <c r="B579" s="84" t="s">
        <v>319</v>
      </c>
      <c r="C579" s="81">
        <f>VLOOKUP("~"&amp;GroupVertices[[#This Row],[Vertex]],Vertices[],MATCH("ID",Vertices[[#Headers],[Vertex]:[Top Word Pairs in Comment by Salience]],0),FALSE)</f>
        <v>140</v>
      </c>
    </row>
    <row r="580" spans="1:3" ht="15">
      <c r="A580" s="82" t="s">
        <v>3387</v>
      </c>
      <c r="B580" s="84" t="s">
        <v>318</v>
      </c>
      <c r="C580" s="81">
        <f>VLOOKUP("~"&amp;GroupVertices[[#This Row],[Vertex]],Vertices[],MATCH("ID",Vertices[[#Headers],[Vertex]:[Top Word Pairs in Comment by Salience]],0),FALSE)</f>
        <v>139</v>
      </c>
    </row>
    <row r="581" spans="1:3" ht="15">
      <c r="A581" s="82" t="s">
        <v>3387</v>
      </c>
      <c r="B581" s="84" t="s">
        <v>317</v>
      </c>
      <c r="C581" s="81">
        <f>VLOOKUP("~"&amp;GroupVertices[[#This Row],[Vertex]],Vertices[],MATCH("ID",Vertices[[#Headers],[Vertex]:[Top Word Pairs in Comment by Salience]],0),FALSE)</f>
        <v>138</v>
      </c>
    </row>
    <row r="582" spans="1:3" ht="15">
      <c r="A582" s="82" t="s">
        <v>3387</v>
      </c>
      <c r="B582" s="84" t="s">
        <v>316</v>
      </c>
      <c r="C582" s="81">
        <f>VLOOKUP("~"&amp;GroupVertices[[#This Row],[Vertex]],Vertices[],MATCH("ID",Vertices[[#Headers],[Vertex]:[Top Word Pairs in Comment by Salience]],0),FALSE)</f>
        <v>137</v>
      </c>
    </row>
    <row r="583" spans="1:3" ht="15">
      <c r="A583" s="82" t="s">
        <v>3387</v>
      </c>
      <c r="B583" s="84" t="s">
        <v>315</v>
      </c>
      <c r="C583" s="81">
        <f>VLOOKUP("~"&amp;GroupVertices[[#This Row],[Vertex]],Vertices[],MATCH("ID",Vertices[[#Headers],[Vertex]:[Top Word Pairs in Comment by Salience]],0),FALSE)</f>
        <v>136</v>
      </c>
    </row>
    <row r="584" spans="1:3" ht="15">
      <c r="A584" s="82" t="s">
        <v>3387</v>
      </c>
      <c r="B584" s="84" t="s">
        <v>314</v>
      </c>
      <c r="C584" s="81">
        <f>VLOOKUP("~"&amp;GroupVertices[[#This Row],[Vertex]],Vertices[],MATCH("ID",Vertices[[#Headers],[Vertex]:[Top Word Pairs in Comment by Salience]],0),FALSE)</f>
        <v>135</v>
      </c>
    </row>
    <row r="585" spans="1:3" ht="15">
      <c r="A585" s="82" t="s">
        <v>3387</v>
      </c>
      <c r="B585" s="84" t="s">
        <v>313</v>
      </c>
      <c r="C585" s="81">
        <f>VLOOKUP("~"&amp;GroupVertices[[#This Row],[Vertex]],Vertices[],MATCH("ID",Vertices[[#Headers],[Vertex]:[Top Word Pairs in Comment by Salience]],0),FALSE)</f>
        <v>134</v>
      </c>
    </row>
    <row r="586" spans="1:3" ht="15">
      <c r="A586" s="82" t="s">
        <v>3387</v>
      </c>
      <c r="B586" s="84" t="s">
        <v>312</v>
      </c>
      <c r="C586" s="81">
        <f>VLOOKUP("~"&amp;GroupVertices[[#This Row],[Vertex]],Vertices[],MATCH("ID",Vertices[[#Headers],[Vertex]:[Top Word Pairs in Comment by Salience]],0),FALSE)</f>
        <v>133</v>
      </c>
    </row>
    <row r="587" spans="1:3" ht="15">
      <c r="A587" s="82" t="s">
        <v>3387</v>
      </c>
      <c r="B587" s="84" t="s">
        <v>311</v>
      </c>
      <c r="C587" s="81">
        <f>VLOOKUP("~"&amp;GroupVertices[[#This Row],[Vertex]],Vertices[],MATCH("ID",Vertices[[#Headers],[Vertex]:[Top Word Pairs in Comment by Salience]],0),FALSE)</f>
        <v>132</v>
      </c>
    </row>
    <row r="588" spans="1:3" ht="15">
      <c r="A588" s="82" t="s">
        <v>3387</v>
      </c>
      <c r="B588" s="84" t="s">
        <v>310</v>
      </c>
      <c r="C588" s="81">
        <f>VLOOKUP("~"&amp;GroupVertices[[#This Row],[Vertex]],Vertices[],MATCH("ID",Vertices[[#Headers],[Vertex]:[Top Word Pairs in Comment by Salience]],0),FALSE)</f>
        <v>131</v>
      </c>
    </row>
    <row r="589" spans="1:3" ht="15">
      <c r="A589" s="82" t="s">
        <v>3387</v>
      </c>
      <c r="B589" s="84" t="s">
        <v>309</v>
      </c>
      <c r="C589" s="81">
        <f>VLOOKUP("~"&amp;GroupVertices[[#This Row],[Vertex]],Vertices[],MATCH("ID",Vertices[[#Headers],[Vertex]:[Top Word Pairs in Comment by Salience]],0),FALSE)</f>
        <v>130</v>
      </c>
    </row>
    <row r="590" spans="1:3" ht="15">
      <c r="A590" s="82" t="s">
        <v>3387</v>
      </c>
      <c r="B590" s="84" t="s">
        <v>308</v>
      </c>
      <c r="C590" s="81">
        <f>VLOOKUP("~"&amp;GroupVertices[[#This Row],[Vertex]],Vertices[],MATCH("ID",Vertices[[#Headers],[Vertex]:[Top Word Pairs in Comment by Salience]],0),FALSE)</f>
        <v>129</v>
      </c>
    </row>
    <row r="591" spans="1:3" ht="15">
      <c r="A591" s="82" t="s">
        <v>3387</v>
      </c>
      <c r="B591" s="84" t="s">
        <v>307</v>
      </c>
      <c r="C591" s="81">
        <f>VLOOKUP("~"&amp;GroupVertices[[#This Row],[Vertex]],Vertices[],MATCH("ID",Vertices[[#Headers],[Vertex]:[Top Word Pairs in Comment by Salience]],0),FALSE)</f>
        <v>128</v>
      </c>
    </row>
    <row r="592" spans="1:3" ht="15">
      <c r="A592" s="82" t="s">
        <v>3387</v>
      </c>
      <c r="B592" s="84" t="s">
        <v>306</v>
      </c>
      <c r="C592" s="81">
        <f>VLOOKUP("~"&amp;GroupVertices[[#This Row],[Vertex]],Vertices[],MATCH("ID",Vertices[[#Headers],[Vertex]:[Top Word Pairs in Comment by Salience]],0),FALSE)</f>
        <v>127</v>
      </c>
    </row>
    <row r="593" spans="1:3" ht="15">
      <c r="A593" s="82" t="s">
        <v>3387</v>
      </c>
      <c r="B593" s="84" t="s">
        <v>305</v>
      </c>
      <c r="C593" s="81">
        <f>VLOOKUP("~"&amp;GroupVertices[[#This Row],[Vertex]],Vertices[],MATCH("ID",Vertices[[#Headers],[Vertex]:[Top Word Pairs in Comment by Salience]],0),FALSE)</f>
        <v>126</v>
      </c>
    </row>
    <row r="594" spans="1:3" ht="15">
      <c r="A594" s="82" t="s">
        <v>3387</v>
      </c>
      <c r="B594" s="84" t="s">
        <v>304</v>
      </c>
      <c r="C594" s="81">
        <f>VLOOKUP("~"&amp;GroupVertices[[#This Row],[Vertex]],Vertices[],MATCH("ID",Vertices[[#Headers],[Vertex]:[Top Word Pairs in Comment by Salience]],0),FALSE)</f>
        <v>125</v>
      </c>
    </row>
    <row r="595" spans="1:3" ht="15">
      <c r="A595" s="82" t="s">
        <v>3387</v>
      </c>
      <c r="B595" s="84" t="s">
        <v>303</v>
      </c>
      <c r="C595" s="81">
        <f>VLOOKUP("~"&amp;GroupVertices[[#This Row],[Vertex]],Vertices[],MATCH("ID",Vertices[[#Headers],[Vertex]:[Top Word Pairs in Comment by Salience]],0),FALSE)</f>
        <v>124</v>
      </c>
    </row>
    <row r="596" spans="1:3" ht="15">
      <c r="A596" s="82" t="s">
        <v>3387</v>
      </c>
      <c r="B596" s="84" t="s">
        <v>302</v>
      </c>
      <c r="C596" s="81">
        <f>VLOOKUP("~"&amp;GroupVertices[[#This Row],[Vertex]],Vertices[],MATCH("ID",Vertices[[#Headers],[Vertex]:[Top Word Pairs in Comment by Salience]],0),FALSE)</f>
        <v>123</v>
      </c>
    </row>
    <row r="597" spans="1:3" ht="15">
      <c r="A597" s="82" t="s">
        <v>3387</v>
      </c>
      <c r="B597" s="84" t="s">
        <v>301</v>
      </c>
      <c r="C597" s="81">
        <f>VLOOKUP("~"&amp;GroupVertices[[#This Row],[Vertex]],Vertices[],MATCH("ID",Vertices[[#Headers],[Vertex]:[Top Word Pairs in Comment by Salience]],0),FALSE)</f>
        <v>122</v>
      </c>
    </row>
    <row r="598" spans="1:3" ht="15">
      <c r="A598" s="82" t="s">
        <v>3387</v>
      </c>
      <c r="B598" s="84" t="s">
        <v>300</v>
      </c>
      <c r="C598" s="81">
        <f>VLOOKUP("~"&amp;GroupVertices[[#This Row],[Vertex]],Vertices[],MATCH("ID",Vertices[[#Headers],[Vertex]:[Top Word Pairs in Comment by Salience]],0),FALSE)</f>
        <v>121</v>
      </c>
    </row>
    <row r="599" spans="1:3" ht="15">
      <c r="A599" s="82" t="s">
        <v>3387</v>
      </c>
      <c r="B599" s="84" t="s">
        <v>299</v>
      </c>
      <c r="C599" s="81">
        <f>VLOOKUP("~"&amp;GroupVertices[[#This Row],[Vertex]],Vertices[],MATCH("ID",Vertices[[#Headers],[Vertex]:[Top Word Pairs in Comment by Salience]],0),FALSE)</f>
        <v>120</v>
      </c>
    </row>
    <row r="600" spans="1:3" ht="15">
      <c r="A600" s="82" t="s">
        <v>3387</v>
      </c>
      <c r="B600" s="84" t="s">
        <v>298</v>
      </c>
      <c r="C600" s="81">
        <f>VLOOKUP("~"&amp;GroupVertices[[#This Row],[Vertex]],Vertices[],MATCH("ID",Vertices[[#Headers],[Vertex]:[Top Word Pairs in Comment by Salience]],0),FALSE)</f>
        <v>119</v>
      </c>
    </row>
    <row r="601" spans="1:3" ht="15">
      <c r="A601" s="82" t="s">
        <v>3387</v>
      </c>
      <c r="B601" s="84" t="s">
        <v>297</v>
      </c>
      <c r="C601" s="81">
        <f>VLOOKUP("~"&amp;GroupVertices[[#This Row],[Vertex]],Vertices[],MATCH("ID",Vertices[[#Headers],[Vertex]:[Top Word Pairs in Comment by Salience]],0),FALSE)</f>
        <v>118</v>
      </c>
    </row>
    <row r="602" spans="1:3" ht="15">
      <c r="A602" s="82" t="s">
        <v>3387</v>
      </c>
      <c r="B602" s="84" t="s">
        <v>296</v>
      </c>
      <c r="C602" s="81">
        <f>VLOOKUP("~"&amp;GroupVertices[[#This Row],[Vertex]],Vertices[],MATCH("ID",Vertices[[#Headers],[Vertex]:[Top Word Pairs in Comment by Salience]],0),FALSE)</f>
        <v>117</v>
      </c>
    </row>
    <row r="603" spans="1:3" ht="15">
      <c r="A603" s="82" t="s">
        <v>3387</v>
      </c>
      <c r="B603" s="84" t="s">
        <v>295</v>
      </c>
      <c r="C603" s="81">
        <f>VLOOKUP("~"&amp;GroupVertices[[#This Row],[Vertex]],Vertices[],MATCH("ID",Vertices[[#Headers],[Vertex]:[Top Word Pairs in Comment by Salience]],0),FALSE)</f>
        <v>116</v>
      </c>
    </row>
    <row r="604" spans="1:3" ht="15">
      <c r="A604" s="82" t="s">
        <v>3387</v>
      </c>
      <c r="B604" s="84" t="s">
        <v>294</v>
      </c>
      <c r="C604" s="81">
        <f>VLOOKUP("~"&amp;GroupVertices[[#This Row],[Vertex]],Vertices[],MATCH("ID",Vertices[[#Headers],[Vertex]:[Top Word Pairs in Comment by Salience]],0),FALSE)</f>
        <v>115</v>
      </c>
    </row>
    <row r="605" spans="1:3" ht="15">
      <c r="A605" s="82" t="s">
        <v>3387</v>
      </c>
      <c r="B605" s="84" t="s">
        <v>293</v>
      </c>
      <c r="C605" s="81">
        <f>VLOOKUP("~"&amp;GroupVertices[[#This Row],[Vertex]],Vertices[],MATCH("ID",Vertices[[#Headers],[Vertex]:[Top Word Pairs in Comment by Salience]],0),FALSE)</f>
        <v>114</v>
      </c>
    </row>
    <row r="606" spans="1:3" ht="15">
      <c r="A606" s="82" t="s">
        <v>3387</v>
      </c>
      <c r="B606" s="84" t="s">
        <v>292</v>
      </c>
      <c r="C606" s="81">
        <f>VLOOKUP("~"&amp;GroupVertices[[#This Row],[Vertex]],Vertices[],MATCH("ID",Vertices[[#Headers],[Vertex]:[Top Word Pairs in Comment by Salience]],0),FALSE)</f>
        <v>113</v>
      </c>
    </row>
    <row r="607" spans="1:3" ht="15">
      <c r="A607" s="82" t="s">
        <v>3387</v>
      </c>
      <c r="B607" s="84" t="s">
        <v>291</v>
      </c>
      <c r="C607" s="81">
        <f>VLOOKUP("~"&amp;GroupVertices[[#This Row],[Vertex]],Vertices[],MATCH("ID",Vertices[[#Headers],[Vertex]:[Top Word Pairs in Comment by Salience]],0),FALSE)</f>
        <v>112</v>
      </c>
    </row>
    <row r="608" spans="1:3" ht="15">
      <c r="A608" s="82" t="s">
        <v>3387</v>
      </c>
      <c r="B608" s="84" t="s">
        <v>290</v>
      </c>
      <c r="C608" s="81">
        <f>VLOOKUP("~"&amp;GroupVertices[[#This Row],[Vertex]],Vertices[],MATCH("ID",Vertices[[#Headers],[Vertex]:[Top Word Pairs in Comment by Salience]],0),FALSE)</f>
        <v>111</v>
      </c>
    </row>
    <row r="609" spans="1:3" ht="15">
      <c r="A609" s="82" t="s">
        <v>3387</v>
      </c>
      <c r="B609" s="84" t="s">
        <v>289</v>
      </c>
      <c r="C609" s="81">
        <f>VLOOKUP("~"&amp;GroupVertices[[#This Row],[Vertex]],Vertices[],MATCH("ID",Vertices[[#Headers],[Vertex]:[Top Word Pairs in Comment by Salience]],0),FALSE)</f>
        <v>110</v>
      </c>
    </row>
    <row r="610" spans="1:3" ht="15">
      <c r="A610" s="82" t="s">
        <v>3387</v>
      </c>
      <c r="B610" s="84" t="s">
        <v>288</v>
      </c>
      <c r="C610" s="81">
        <f>VLOOKUP("~"&amp;GroupVertices[[#This Row],[Vertex]],Vertices[],MATCH("ID",Vertices[[#Headers],[Vertex]:[Top Word Pairs in Comment by Salience]],0),FALSE)</f>
        <v>109</v>
      </c>
    </row>
    <row r="611" spans="1:3" ht="15">
      <c r="A611" s="82" t="s">
        <v>3387</v>
      </c>
      <c r="B611" s="84" t="s">
        <v>287</v>
      </c>
      <c r="C611" s="81">
        <f>VLOOKUP("~"&amp;GroupVertices[[#This Row],[Vertex]],Vertices[],MATCH("ID",Vertices[[#Headers],[Vertex]:[Top Word Pairs in Comment by Salience]],0),FALSE)</f>
        <v>108</v>
      </c>
    </row>
    <row r="612" spans="1:3" ht="15">
      <c r="A612" s="82" t="s">
        <v>3387</v>
      </c>
      <c r="B612" s="84" t="s">
        <v>286</v>
      </c>
      <c r="C612" s="81">
        <f>VLOOKUP("~"&amp;GroupVertices[[#This Row],[Vertex]],Vertices[],MATCH("ID",Vertices[[#Headers],[Vertex]:[Top Word Pairs in Comment by Salience]],0),FALSE)</f>
        <v>107</v>
      </c>
    </row>
    <row r="613" spans="1:3" ht="15">
      <c r="A613" s="82" t="s">
        <v>3387</v>
      </c>
      <c r="B613" s="84" t="s">
        <v>285</v>
      </c>
      <c r="C613" s="81">
        <f>VLOOKUP("~"&amp;GroupVertices[[#This Row],[Vertex]],Vertices[],MATCH("ID",Vertices[[#Headers],[Vertex]:[Top Word Pairs in Comment by Salience]],0),FALSE)</f>
        <v>106</v>
      </c>
    </row>
    <row r="614" spans="1:3" ht="15">
      <c r="A614" s="82" t="s">
        <v>3387</v>
      </c>
      <c r="B614" s="84" t="s">
        <v>284</v>
      </c>
      <c r="C614" s="81">
        <f>VLOOKUP("~"&amp;GroupVertices[[#This Row],[Vertex]],Vertices[],MATCH("ID",Vertices[[#Headers],[Vertex]:[Top Word Pairs in Comment by Salience]],0),FALSE)</f>
        <v>105</v>
      </c>
    </row>
    <row r="615" spans="1:3" ht="15">
      <c r="A615" s="82" t="s">
        <v>3387</v>
      </c>
      <c r="B615" s="84" t="s">
        <v>283</v>
      </c>
      <c r="C615" s="81">
        <f>VLOOKUP("~"&amp;GroupVertices[[#This Row],[Vertex]],Vertices[],MATCH("ID",Vertices[[#Headers],[Vertex]:[Top Word Pairs in Comment by Salience]],0),FALSE)</f>
        <v>104</v>
      </c>
    </row>
    <row r="616" spans="1:3" ht="15">
      <c r="A616" s="82" t="s">
        <v>3387</v>
      </c>
      <c r="B616" s="84" t="s">
        <v>282</v>
      </c>
      <c r="C616" s="81">
        <f>VLOOKUP("~"&amp;GroupVertices[[#This Row],[Vertex]],Vertices[],MATCH("ID",Vertices[[#Headers],[Vertex]:[Top Word Pairs in Comment by Salience]],0),FALSE)</f>
        <v>103</v>
      </c>
    </row>
    <row r="617" spans="1:3" ht="15">
      <c r="A617" s="82" t="s">
        <v>3387</v>
      </c>
      <c r="B617" s="84" t="s">
        <v>281</v>
      </c>
      <c r="C617" s="81">
        <f>VLOOKUP("~"&amp;GroupVertices[[#This Row],[Vertex]],Vertices[],MATCH("ID",Vertices[[#Headers],[Vertex]:[Top Word Pairs in Comment by Salience]],0),FALSE)</f>
        <v>102</v>
      </c>
    </row>
    <row r="618" spans="1:3" ht="15">
      <c r="A618" s="82" t="s">
        <v>3387</v>
      </c>
      <c r="B618" s="84" t="s">
        <v>280</v>
      </c>
      <c r="C618" s="81">
        <f>VLOOKUP("~"&amp;GroupVertices[[#This Row],[Vertex]],Vertices[],MATCH("ID",Vertices[[#Headers],[Vertex]:[Top Word Pairs in Comment by Salience]],0),FALSE)</f>
        <v>101</v>
      </c>
    </row>
    <row r="619" spans="1:3" ht="15">
      <c r="A619" s="82" t="s">
        <v>3387</v>
      </c>
      <c r="B619" s="84" t="s">
        <v>279</v>
      </c>
      <c r="C619" s="81">
        <f>VLOOKUP("~"&amp;GroupVertices[[#This Row],[Vertex]],Vertices[],MATCH("ID",Vertices[[#Headers],[Vertex]:[Top Word Pairs in Comment by Salience]],0),FALSE)</f>
        <v>100</v>
      </c>
    </row>
    <row r="620" spans="1:3" ht="15">
      <c r="A620" s="82" t="s">
        <v>3387</v>
      </c>
      <c r="B620" s="84" t="s">
        <v>278</v>
      </c>
      <c r="C620" s="81">
        <f>VLOOKUP("~"&amp;GroupVertices[[#This Row],[Vertex]],Vertices[],MATCH("ID",Vertices[[#Headers],[Vertex]:[Top Word Pairs in Comment by Salience]],0),FALSE)</f>
        <v>99</v>
      </c>
    </row>
    <row r="621" spans="1:3" ht="15">
      <c r="A621" s="82" t="s">
        <v>3387</v>
      </c>
      <c r="B621" s="84" t="s">
        <v>277</v>
      </c>
      <c r="C621" s="81">
        <f>VLOOKUP("~"&amp;GroupVertices[[#This Row],[Vertex]],Vertices[],MATCH("ID",Vertices[[#Headers],[Vertex]:[Top Word Pairs in Comment by Salience]],0),FALSE)</f>
        <v>98</v>
      </c>
    </row>
    <row r="622" spans="1:3" ht="15">
      <c r="A622" s="82" t="s">
        <v>3387</v>
      </c>
      <c r="B622" s="84" t="s">
        <v>276</v>
      </c>
      <c r="C622" s="81">
        <f>VLOOKUP("~"&amp;GroupVertices[[#This Row],[Vertex]],Vertices[],MATCH("ID",Vertices[[#Headers],[Vertex]:[Top Word Pairs in Comment by Salience]],0),FALSE)</f>
        <v>97</v>
      </c>
    </row>
    <row r="623" spans="1:3" ht="15">
      <c r="A623" s="82" t="s">
        <v>3387</v>
      </c>
      <c r="B623" s="84" t="s">
        <v>275</v>
      </c>
      <c r="C623" s="81">
        <f>VLOOKUP("~"&amp;GroupVertices[[#This Row],[Vertex]],Vertices[],MATCH("ID",Vertices[[#Headers],[Vertex]:[Top Word Pairs in Comment by Salience]],0),FALSE)</f>
        <v>96</v>
      </c>
    </row>
    <row r="624" spans="1:3" ht="15">
      <c r="A624" s="82" t="s">
        <v>3387</v>
      </c>
      <c r="B624" s="84" t="s">
        <v>274</v>
      </c>
      <c r="C624" s="81">
        <f>VLOOKUP("~"&amp;GroupVertices[[#This Row],[Vertex]],Vertices[],MATCH("ID",Vertices[[#Headers],[Vertex]:[Top Word Pairs in Comment by Salience]],0),FALSE)</f>
        <v>95</v>
      </c>
    </row>
    <row r="625" spans="1:3" ht="15">
      <c r="A625" s="82" t="s">
        <v>3387</v>
      </c>
      <c r="B625" s="84" t="s">
        <v>273</v>
      </c>
      <c r="C625" s="81">
        <f>VLOOKUP("~"&amp;GroupVertices[[#This Row],[Vertex]],Vertices[],MATCH("ID",Vertices[[#Headers],[Vertex]:[Top Word Pairs in Comment by Salience]],0),FALSE)</f>
        <v>94</v>
      </c>
    </row>
    <row r="626" spans="1:3" ht="15">
      <c r="A626" s="82" t="s">
        <v>3387</v>
      </c>
      <c r="B626" s="84" t="s">
        <v>272</v>
      </c>
      <c r="C626" s="81">
        <f>VLOOKUP("~"&amp;GroupVertices[[#This Row],[Vertex]],Vertices[],MATCH("ID",Vertices[[#Headers],[Vertex]:[Top Word Pairs in Comment by Salience]],0),FALSE)</f>
        <v>93</v>
      </c>
    </row>
    <row r="627" spans="1:3" ht="15">
      <c r="A627" s="82" t="s">
        <v>3387</v>
      </c>
      <c r="B627" s="84" t="s">
        <v>271</v>
      </c>
      <c r="C627" s="81">
        <f>VLOOKUP("~"&amp;GroupVertices[[#This Row],[Vertex]],Vertices[],MATCH("ID",Vertices[[#Headers],[Vertex]:[Top Word Pairs in Comment by Salience]],0),FALSE)</f>
        <v>92</v>
      </c>
    </row>
    <row r="628" spans="1:3" ht="15">
      <c r="A628" s="82" t="s">
        <v>3387</v>
      </c>
      <c r="B628" s="84" t="s">
        <v>270</v>
      </c>
      <c r="C628" s="81">
        <f>VLOOKUP("~"&amp;GroupVertices[[#This Row],[Vertex]],Vertices[],MATCH("ID",Vertices[[#Headers],[Vertex]:[Top Word Pairs in Comment by Salience]],0),FALSE)</f>
        <v>91</v>
      </c>
    </row>
    <row r="629" spans="1:3" ht="15">
      <c r="A629" s="82" t="s">
        <v>3387</v>
      </c>
      <c r="B629" s="84" t="s">
        <v>269</v>
      </c>
      <c r="C629" s="81">
        <f>VLOOKUP("~"&amp;GroupVertices[[#This Row],[Vertex]],Vertices[],MATCH("ID",Vertices[[#Headers],[Vertex]:[Top Word Pairs in Comment by Salience]],0),FALSE)</f>
        <v>90</v>
      </c>
    </row>
    <row r="630" spans="1:3" ht="15">
      <c r="A630" s="82" t="s">
        <v>3387</v>
      </c>
      <c r="B630" s="84" t="s">
        <v>268</v>
      </c>
      <c r="C630" s="81">
        <f>VLOOKUP("~"&amp;GroupVertices[[#This Row],[Vertex]],Vertices[],MATCH("ID",Vertices[[#Headers],[Vertex]:[Top Word Pairs in Comment by Salience]],0),FALSE)</f>
        <v>89</v>
      </c>
    </row>
    <row r="631" spans="1:3" ht="15">
      <c r="A631" s="82" t="s">
        <v>3387</v>
      </c>
      <c r="B631" s="84" t="s">
        <v>267</v>
      </c>
      <c r="C631" s="81">
        <f>VLOOKUP("~"&amp;GroupVertices[[#This Row],[Vertex]],Vertices[],MATCH("ID",Vertices[[#Headers],[Vertex]:[Top Word Pairs in Comment by Salience]],0),FALSE)</f>
        <v>88</v>
      </c>
    </row>
    <row r="632" spans="1:3" ht="15">
      <c r="A632" s="82" t="s">
        <v>3387</v>
      </c>
      <c r="B632" s="84" t="s">
        <v>266</v>
      </c>
      <c r="C632" s="81">
        <f>VLOOKUP("~"&amp;GroupVertices[[#This Row],[Vertex]],Vertices[],MATCH("ID",Vertices[[#Headers],[Vertex]:[Top Word Pairs in Comment by Salience]],0),FALSE)</f>
        <v>87</v>
      </c>
    </row>
    <row r="633" spans="1:3" ht="15">
      <c r="A633" s="82" t="s">
        <v>3388</v>
      </c>
      <c r="B633" s="84" t="s">
        <v>837</v>
      </c>
      <c r="C633" s="81">
        <f>VLOOKUP("~"&amp;GroupVertices[[#This Row],[Vertex]],Vertices[],MATCH("ID",Vertices[[#Headers],[Vertex]:[Top Word Pairs in Comment by Salience]],0),FALSE)</f>
        <v>22</v>
      </c>
    </row>
    <row r="634" spans="1:3" ht="15">
      <c r="A634" s="82" t="s">
        <v>3388</v>
      </c>
      <c r="B634" s="84" t="s">
        <v>899</v>
      </c>
      <c r="C634" s="81">
        <f>VLOOKUP("~"&amp;GroupVertices[[#This Row],[Vertex]],Vertices[],MATCH("ID",Vertices[[#Headers],[Vertex]:[Top Word Pairs in Comment by Salience]],0),FALSE)</f>
        <v>8</v>
      </c>
    </row>
    <row r="635" spans="1:3" ht="15">
      <c r="A635" s="82" t="s">
        <v>3388</v>
      </c>
      <c r="B635" s="84" t="s">
        <v>675</v>
      </c>
      <c r="C635" s="81">
        <f>VLOOKUP("~"&amp;GroupVertices[[#This Row],[Vertex]],Vertices[],MATCH("ID",Vertices[[#Headers],[Vertex]:[Top Word Pairs in Comment by Salience]],0),FALSE)</f>
        <v>17</v>
      </c>
    </row>
    <row r="636" spans="1:3" ht="15">
      <c r="A636" s="82" t="s">
        <v>3388</v>
      </c>
      <c r="B636" s="84" t="s">
        <v>559</v>
      </c>
      <c r="C636" s="81">
        <f>VLOOKUP("~"&amp;GroupVertices[[#This Row],[Vertex]],Vertices[],MATCH("ID",Vertices[[#Headers],[Vertex]:[Top Word Pairs in Comment by Salience]],0),FALSE)</f>
        <v>14</v>
      </c>
    </row>
    <row r="637" spans="1:3" ht="15">
      <c r="A637" s="82" t="s">
        <v>3388</v>
      </c>
      <c r="B637" s="84" t="s">
        <v>494</v>
      </c>
      <c r="C637" s="81">
        <f>VLOOKUP("~"&amp;GroupVertices[[#This Row],[Vertex]],Vertices[],MATCH("ID",Vertices[[#Headers],[Vertex]:[Top Word Pairs in Comment by Salience]],0),FALSE)</f>
        <v>21</v>
      </c>
    </row>
    <row r="638" spans="1:3" ht="15">
      <c r="A638" s="82" t="s">
        <v>3388</v>
      </c>
      <c r="B638" s="84" t="s">
        <v>359</v>
      </c>
      <c r="C638" s="81">
        <f>VLOOKUP("~"&amp;GroupVertices[[#This Row],[Vertex]],Vertices[],MATCH("ID",Vertices[[#Headers],[Vertex]:[Top Word Pairs in Comment by Salience]],0),FALSE)</f>
        <v>15</v>
      </c>
    </row>
    <row r="639" spans="1:3" ht="15">
      <c r="A639" s="82" t="s">
        <v>3388</v>
      </c>
      <c r="B639" s="84" t="s">
        <v>263</v>
      </c>
      <c r="C639" s="81">
        <f>VLOOKUP("~"&amp;GroupVertices[[#This Row],[Vertex]],Vertices[],MATCH("ID",Vertices[[#Headers],[Vertex]:[Top Word Pairs in Comment by Salience]],0),FALSE)</f>
        <v>84</v>
      </c>
    </row>
    <row r="640" spans="1:3" ht="15">
      <c r="A640" s="82" t="s">
        <v>3388</v>
      </c>
      <c r="B640" s="84" t="s">
        <v>262</v>
      </c>
      <c r="C640" s="81">
        <f>VLOOKUP("~"&amp;GroupVertices[[#This Row],[Vertex]],Vertices[],MATCH("ID",Vertices[[#Headers],[Vertex]:[Top Word Pairs in Comment by Salience]],0),FALSE)</f>
        <v>83</v>
      </c>
    </row>
    <row r="641" spans="1:3" ht="15">
      <c r="A641" s="82" t="s">
        <v>3388</v>
      </c>
      <c r="B641" s="84" t="s">
        <v>261</v>
      </c>
      <c r="C641" s="81">
        <f>VLOOKUP("~"&amp;GroupVertices[[#This Row],[Vertex]],Vertices[],MATCH("ID",Vertices[[#Headers],[Vertex]:[Top Word Pairs in Comment by Salience]],0),FALSE)</f>
        <v>82</v>
      </c>
    </row>
    <row r="642" spans="1:3" ht="15">
      <c r="A642" s="82" t="s">
        <v>3388</v>
      </c>
      <c r="B642" s="84" t="s">
        <v>260</v>
      </c>
      <c r="C642" s="81">
        <f>VLOOKUP("~"&amp;GroupVertices[[#This Row],[Vertex]],Vertices[],MATCH("ID",Vertices[[#Headers],[Vertex]:[Top Word Pairs in Comment by Salience]],0),FALSE)</f>
        <v>81</v>
      </c>
    </row>
    <row r="643" spans="1:3" ht="15">
      <c r="A643" s="82" t="s">
        <v>3388</v>
      </c>
      <c r="B643" s="84" t="s">
        <v>259</v>
      </c>
      <c r="C643" s="81">
        <f>VLOOKUP("~"&amp;GroupVertices[[#This Row],[Vertex]],Vertices[],MATCH("ID",Vertices[[#Headers],[Vertex]:[Top Word Pairs in Comment by Salience]],0),FALSE)</f>
        <v>80</v>
      </c>
    </row>
    <row r="644" spans="1:3" ht="15">
      <c r="A644" s="82" t="s">
        <v>3388</v>
      </c>
      <c r="B644" s="84" t="s">
        <v>258</v>
      </c>
      <c r="C644" s="81">
        <f>VLOOKUP("~"&amp;GroupVertices[[#This Row],[Vertex]],Vertices[],MATCH("ID",Vertices[[#Headers],[Vertex]:[Top Word Pairs in Comment by Salience]],0),FALSE)</f>
        <v>79</v>
      </c>
    </row>
    <row r="645" spans="1:3" ht="15">
      <c r="A645" s="82" t="s">
        <v>3388</v>
      </c>
      <c r="B645" s="84" t="s">
        <v>257</v>
      </c>
      <c r="C645" s="81">
        <f>VLOOKUP("~"&amp;GroupVertices[[#This Row],[Vertex]],Vertices[],MATCH("ID",Vertices[[#Headers],[Vertex]:[Top Word Pairs in Comment by Salience]],0),FALSE)</f>
        <v>78</v>
      </c>
    </row>
    <row r="646" spans="1:3" ht="15">
      <c r="A646" s="82" t="s">
        <v>3388</v>
      </c>
      <c r="B646" s="84" t="s">
        <v>256</v>
      </c>
      <c r="C646" s="81">
        <f>VLOOKUP("~"&amp;GroupVertices[[#This Row],[Vertex]],Vertices[],MATCH("ID",Vertices[[#Headers],[Vertex]:[Top Word Pairs in Comment by Salience]],0),FALSE)</f>
        <v>77</v>
      </c>
    </row>
    <row r="647" spans="1:3" ht="15">
      <c r="A647" s="82" t="s">
        <v>3388</v>
      </c>
      <c r="B647" s="84" t="s">
        <v>255</v>
      </c>
      <c r="C647" s="81">
        <f>VLOOKUP("~"&amp;GroupVertices[[#This Row],[Vertex]],Vertices[],MATCH("ID",Vertices[[#Headers],[Vertex]:[Top Word Pairs in Comment by Salience]],0),FALSE)</f>
        <v>76</v>
      </c>
    </row>
    <row r="648" spans="1:3" ht="15">
      <c r="A648" s="82" t="s">
        <v>3388</v>
      </c>
      <c r="B648" s="84" t="s">
        <v>254</v>
      </c>
      <c r="C648" s="81">
        <f>VLOOKUP("~"&amp;GroupVertices[[#This Row],[Vertex]],Vertices[],MATCH("ID",Vertices[[#Headers],[Vertex]:[Top Word Pairs in Comment by Salience]],0),FALSE)</f>
        <v>75</v>
      </c>
    </row>
    <row r="649" spans="1:3" ht="15">
      <c r="A649" s="82" t="s">
        <v>3388</v>
      </c>
      <c r="B649" s="84" t="s">
        <v>253</v>
      </c>
      <c r="C649" s="81">
        <f>VLOOKUP("~"&amp;GroupVertices[[#This Row],[Vertex]],Vertices[],MATCH("ID",Vertices[[#Headers],[Vertex]:[Top Word Pairs in Comment by Salience]],0),FALSE)</f>
        <v>74</v>
      </c>
    </row>
    <row r="650" spans="1:3" ht="15">
      <c r="A650" s="82" t="s">
        <v>3388</v>
      </c>
      <c r="B650" s="84" t="s">
        <v>252</v>
      </c>
      <c r="C650" s="81">
        <f>VLOOKUP("~"&amp;GroupVertices[[#This Row],[Vertex]],Vertices[],MATCH("ID",Vertices[[#Headers],[Vertex]:[Top Word Pairs in Comment by Salience]],0),FALSE)</f>
        <v>73</v>
      </c>
    </row>
    <row r="651" spans="1:3" ht="15">
      <c r="A651" s="82" t="s">
        <v>3388</v>
      </c>
      <c r="B651" s="84" t="s">
        <v>251</v>
      </c>
      <c r="C651" s="81">
        <f>VLOOKUP("~"&amp;GroupVertices[[#This Row],[Vertex]],Vertices[],MATCH("ID",Vertices[[#Headers],[Vertex]:[Top Word Pairs in Comment by Salience]],0),FALSE)</f>
        <v>72</v>
      </c>
    </row>
    <row r="652" spans="1:3" ht="15">
      <c r="A652" s="82" t="s">
        <v>3388</v>
      </c>
      <c r="B652" s="84" t="s">
        <v>250</v>
      </c>
      <c r="C652" s="81">
        <f>VLOOKUP("~"&amp;GroupVertices[[#This Row],[Vertex]],Vertices[],MATCH("ID",Vertices[[#Headers],[Vertex]:[Top Word Pairs in Comment by Salience]],0),FALSE)</f>
        <v>71</v>
      </c>
    </row>
    <row r="653" spans="1:3" ht="15">
      <c r="A653" s="82" t="s">
        <v>3388</v>
      </c>
      <c r="B653" s="84" t="s">
        <v>249</v>
      </c>
      <c r="C653" s="81">
        <f>VLOOKUP("~"&amp;GroupVertices[[#This Row],[Vertex]],Vertices[],MATCH("ID",Vertices[[#Headers],[Vertex]:[Top Word Pairs in Comment by Salience]],0),FALSE)</f>
        <v>70</v>
      </c>
    </row>
    <row r="654" spans="1:3" ht="15">
      <c r="A654" s="82" t="s">
        <v>3388</v>
      </c>
      <c r="B654" s="84" t="s">
        <v>248</v>
      </c>
      <c r="C654" s="81">
        <f>VLOOKUP("~"&amp;GroupVertices[[#This Row],[Vertex]],Vertices[],MATCH("ID",Vertices[[#Headers],[Vertex]:[Top Word Pairs in Comment by Salience]],0),FALSE)</f>
        <v>69</v>
      </c>
    </row>
    <row r="655" spans="1:3" ht="15">
      <c r="A655" s="82" t="s">
        <v>3388</v>
      </c>
      <c r="B655" s="84" t="s">
        <v>247</v>
      </c>
      <c r="C655" s="81">
        <f>VLOOKUP("~"&amp;GroupVertices[[#This Row],[Vertex]],Vertices[],MATCH("ID",Vertices[[#Headers],[Vertex]:[Top Word Pairs in Comment by Salience]],0),FALSE)</f>
        <v>68</v>
      </c>
    </row>
    <row r="656" spans="1:3" ht="15">
      <c r="A656" s="82" t="s">
        <v>3388</v>
      </c>
      <c r="B656" s="84" t="s">
        <v>246</v>
      </c>
      <c r="C656" s="81">
        <f>VLOOKUP("~"&amp;GroupVertices[[#This Row],[Vertex]],Vertices[],MATCH("ID",Vertices[[#Headers],[Vertex]:[Top Word Pairs in Comment by Salience]],0),FALSE)</f>
        <v>67</v>
      </c>
    </row>
    <row r="657" spans="1:3" ht="15">
      <c r="A657" s="82" t="s">
        <v>3388</v>
      </c>
      <c r="B657" s="84" t="s">
        <v>245</v>
      </c>
      <c r="C657" s="81">
        <f>VLOOKUP("~"&amp;GroupVertices[[#This Row],[Vertex]],Vertices[],MATCH("ID",Vertices[[#Headers],[Vertex]:[Top Word Pairs in Comment by Salience]],0),FALSE)</f>
        <v>66</v>
      </c>
    </row>
    <row r="658" spans="1:3" ht="15">
      <c r="A658" s="82" t="s">
        <v>3388</v>
      </c>
      <c r="B658" s="84" t="s">
        <v>244</v>
      </c>
      <c r="C658" s="81">
        <f>VLOOKUP("~"&amp;GroupVertices[[#This Row],[Vertex]],Vertices[],MATCH("ID",Vertices[[#Headers],[Vertex]:[Top Word Pairs in Comment by Salience]],0),FALSE)</f>
        <v>65</v>
      </c>
    </row>
    <row r="659" spans="1:3" ht="15">
      <c r="A659" s="82" t="s">
        <v>3388</v>
      </c>
      <c r="B659" s="84" t="s">
        <v>243</v>
      </c>
      <c r="C659" s="81">
        <f>VLOOKUP("~"&amp;GroupVertices[[#This Row],[Vertex]],Vertices[],MATCH("ID",Vertices[[#Headers],[Vertex]:[Top Word Pairs in Comment by Salience]],0),FALSE)</f>
        <v>64</v>
      </c>
    </row>
    <row r="660" spans="1:3" ht="15">
      <c r="A660" s="82" t="s">
        <v>3388</v>
      </c>
      <c r="B660" s="84" t="s">
        <v>242</v>
      </c>
      <c r="C660" s="81">
        <f>VLOOKUP("~"&amp;GroupVertices[[#This Row],[Vertex]],Vertices[],MATCH("ID",Vertices[[#Headers],[Vertex]:[Top Word Pairs in Comment by Salience]],0),FALSE)</f>
        <v>63</v>
      </c>
    </row>
    <row r="661" spans="1:3" ht="15">
      <c r="A661" s="82" t="s">
        <v>3388</v>
      </c>
      <c r="B661" s="84" t="s">
        <v>241</v>
      </c>
      <c r="C661" s="81">
        <f>VLOOKUP("~"&amp;GroupVertices[[#This Row],[Vertex]],Vertices[],MATCH("ID",Vertices[[#Headers],[Vertex]:[Top Word Pairs in Comment by Salience]],0),FALSE)</f>
        <v>62</v>
      </c>
    </row>
    <row r="662" spans="1:3" ht="15">
      <c r="A662" s="82" t="s">
        <v>3388</v>
      </c>
      <c r="B662" s="84" t="s">
        <v>240</v>
      </c>
      <c r="C662" s="81">
        <f>VLOOKUP("~"&amp;GroupVertices[[#This Row],[Vertex]],Vertices[],MATCH("ID",Vertices[[#Headers],[Vertex]:[Top Word Pairs in Comment by Salience]],0),FALSE)</f>
        <v>61</v>
      </c>
    </row>
    <row r="663" spans="1:3" ht="15">
      <c r="A663" s="82" t="s">
        <v>3388</v>
      </c>
      <c r="B663" s="84" t="s">
        <v>239</v>
      </c>
      <c r="C663" s="81">
        <f>VLOOKUP("~"&amp;GroupVertices[[#This Row],[Vertex]],Vertices[],MATCH("ID",Vertices[[#Headers],[Vertex]:[Top Word Pairs in Comment by Salience]],0),FALSE)</f>
        <v>60</v>
      </c>
    </row>
    <row r="664" spans="1:3" ht="15">
      <c r="A664" s="82" t="s">
        <v>3388</v>
      </c>
      <c r="B664" s="84" t="s">
        <v>238</v>
      </c>
      <c r="C664" s="81">
        <f>VLOOKUP("~"&amp;GroupVertices[[#This Row],[Vertex]],Vertices[],MATCH("ID",Vertices[[#Headers],[Vertex]:[Top Word Pairs in Comment by Salience]],0),FALSE)</f>
        <v>59</v>
      </c>
    </row>
    <row r="665" spans="1:3" ht="15">
      <c r="A665" s="82" t="s">
        <v>3388</v>
      </c>
      <c r="B665" s="84" t="s">
        <v>237</v>
      </c>
      <c r="C665" s="81">
        <f>VLOOKUP("~"&amp;GroupVertices[[#This Row],[Vertex]],Vertices[],MATCH("ID",Vertices[[#Headers],[Vertex]:[Top Word Pairs in Comment by Salience]],0),FALSE)</f>
        <v>58</v>
      </c>
    </row>
    <row r="666" spans="1:3" ht="15">
      <c r="A666" s="82" t="s">
        <v>3388</v>
      </c>
      <c r="B666" s="84" t="s">
        <v>236</v>
      </c>
      <c r="C666" s="81">
        <f>VLOOKUP("~"&amp;GroupVertices[[#This Row],[Vertex]],Vertices[],MATCH("ID",Vertices[[#Headers],[Vertex]:[Top Word Pairs in Comment by Salience]],0),FALSE)</f>
        <v>57</v>
      </c>
    </row>
    <row r="667" spans="1:3" ht="15">
      <c r="A667" s="82" t="s">
        <v>3388</v>
      </c>
      <c r="B667" s="84" t="s">
        <v>235</v>
      </c>
      <c r="C667" s="81">
        <f>VLOOKUP("~"&amp;GroupVertices[[#This Row],[Vertex]],Vertices[],MATCH("ID",Vertices[[#Headers],[Vertex]:[Top Word Pairs in Comment by Salience]],0),FALSE)</f>
        <v>56</v>
      </c>
    </row>
    <row r="668" spans="1:3" ht="15">
      <c r="A668" s="82" t="s">
        <v>3388</v>
      </c>
      <c r="B668" s="84" t="s">
        <v>234</v>
      </c>
      <c r="C668" s="81">
        <f>VLOOKUP("~"&amp;GroupVertices[[#This Row],[Vertex]],Vertices[],MATCH("ID",Vertices[[#Headers],[Vertex]:[Top Word Pairs in Comment by Salience]],0),FALSE)</f>
        <v>55</v>
      </c>
    </row>
    <row r="669" spans="1:3" ht="15">
      <c r="A669" s="82" t="s">
        <v>3388</v>
      </c>
      <c r="B669" s="84" t="s">
        <v>233</v>
      </c>
      <c r="C669" s="81">
        <f>VLOOKUP("~"&amp;GroupVertices[[#This Row],[Vertex]],Vertices[],MATCH("ID",Vertices[[#Headers],[Vertex]:[Top Word Pairs in Comment by Salience]],0),FALSE)</f>
        <v>54</v>
      </c>
    </row>
    <row r="670" spans="1:3" ht="15">
      <c r="A670" s="82" t="s">
        <v>3388</v>
      </c>
      <c r="B670" s="84" t="s">
        <v>232</v>
      </c>
      <c r="C670" s="81">
        <f>VLOOKUP("~"&amp;GroupVertices[[#This Row],[Vertex]],Vertices[],MATCH("ID",Vertices[[#Headers],[Vertex]:[Top Word Pairs in Comment by Salience]],0),FALSE)</f>
        <v>53</v>
      </c>
    </row>
    <row r="671" spans="1:3" ht="15">
      <c r="A671" s="82" t="s">
        <v>3388</v>
      </c>
      <c r="B671" s="84" t="s">
        <v>231</v>
      </c>
      <c r="C671" s="81">
        <f>VLOOKUP("~"&amp;GroupVertices[[#This Row],[Vertex]],Vertices[],MATCH("ID",Vertices[[#Headers],[Vertex]:[Top Word Pairs in Comment by Salience]],0),FALSE)</f>
        <v>52</v>
      </c>
    </row>
    <row r="672" spans="1:3" ht="15">
      <c r="A672" s="82" t="s">
        <v>3388</v>
      </c>
      <c r="B672" s="84" t="s">
        <v>230</v>
      </c>
      <c r="C672" s="81">
        <f>VLOOKUP("~"&amp;GroupVertices[[#This Row],[Vertex]],Vertices[],MATCH("ID",Vertices[[#Headers],[Vertex]:[Top Word Pairs in Comment by Salience]],0),FALSE)</f>
        <v>51</v>
      </c>
    </row>
    <row r="673" spans="1:3" ht="15">
      <c r="A673" s="82" t="s">
        <v>3388</v>
      </c>
      <c r="B673" s="84" t="s">
        <v>229</v>
      </c>
      <c r="C673" s="81">
        <f>VLOOKUP("~"&amp;GroupVertices[[#This Row],[Vertex]],Vertices[],MATCH("ID",Vertices[[#Headers],[Vertex]:[Top Word Pairs in Comment by Salience]],0),FALSE)</f>
        <v>50</v>
      </c>
    </row>
    <row r="674" spans="1:3" ht="15">
      <c r="A674" s="82" t="s">
        <v>3388</v>
      </c>
      <c r="B674" s="84" t="s">
        <v>228</v>
      </c>
      <c r="C674" s="81">
        <f>VLOOKUP("~"&amp;GroupVertices[[#This Row],[Vertex]],Vertices[],MATCH("ID",Vertices[[#Headers],[Vertex]:[Top Word Pairs in Comment by Salience]],0),FALSE)</f>
        <v>49</v>
      </c>
    </row>
    <row r="675" spans="1:3" ht="15">
      <c r="A675" s="82" t="s">
        <v>3388</v>
      </c>
      <c r="B675" s="84" t="s">
        <v>227</v>
      </c>
      <c r="C675" s="81">
        <f>VLOOKUP("~"&amp;GroupVertices[[#This Row],[Vertex]],Vertices[],MATCH("ID",Vertices[[#Headers],[Vertex]:[Top Word Pairs in Comment by Salience]],0),FALSE)</f>
        <v>48</v>
      </c>
    </row>
    <row r="676" spans="1:3" ht="15">
      <c r="A676" s="82" t="s">
        <v>3388</v>
      </c>
      <c r="B676" s="84" t="s">
        <v>226</v>
      </c>
      <c r="C676" s="81">
        <f>VLOOKUP("~"&amp;GroupVertices[[#This Row],[Vertex]],Vertices[],MATCH("ID",Vertices[[#Headers],[Vertex]:[Top Word Pairs in Comment by Salience]],0),FALSE)</f>
        <v>47</v>
      </c>
    </row>
    <row r="677" spans="1:3" ht="15">
      <c r="A677" s="82" t="s">
        <v>3388</v>
      </c>
      <c r="B677" s="84" t="s">
        <v>225</v>
      </c>
      <c r="C677" s="81">
        <f>VLOOKUP("~"&amp;GroupVertices[[#This Row],[Vertex]],Vertices[],MATCH("ID",Vertices[[#Headers],[Vertex]:[Top Word Pairs in Comment by Salience]],0),FALSE)</f>
        <v>46</v>
      </c>
    </row>
    <row r="678" spans="1:3" ht="15">
      <c r="A678" s="82" t="s">
        <v>3388</v>
      </c>
      <c r="B678" s="84" t="s">
        <v>224</v>
      </c>
      <c r="C678" s="81">
        <f>VLOOKUP("~"&amp;GroupVertices[[#This Row],[Vertex]],Vertices[],MATCH("ID",Vertices[[#Headers],[Vertex]:[Top Word Pairs in Comment by Salience]],0),FALSE)</f>
        <v>45</v>
      </c>
    </row>
    <row r="679" spans="1:3" ht="15">
      <c r="A679" s="82" t="s">
        <v>3388</v>
      </c>
      <c r="B679" s="84" t="s">
        <v>223</v>
      </c>
      <c r="C679" s="81">
        <f>VLOOKUP("~"&amp;GroupVertices[[#This Row],[Vertex]],Vertices[],MATCH("ID",Vertices[[#Headers],[Vertex]:[Top Word Pairs in Comment by Salience]],0),FALSE)</f>
        <v>44</v>
      </c>
    </row>
    <row r="680" spans="1:3" ht="15">
      <c r="A680" s="82" t="s">
        <v>3388</v>
      </c>
      <c r="B680" s="84" t="s">
        <v>222</v>
      </c>
      <c r="C680" s="81">
        <f>VLOOKUP("~"&amp;GroupVertices[[#This Row],[Vertex]],Vertices[],MATCH("ID",Vertices[[#Headers],[Vertex]:[Top Word Pairs in Comment by Salience]],0),FALSE)</f>
        <v>43</v>
      </c>
    </row>
    <row r="681" spans="1:3" ht="15">
      <c r="A681" s="82" t="s">
        <v>3388</v>
      </c>
      <c r="B681" s="84" t="s">
        <v>221</v>
      </c>
      <c r="C681" s="81">
        <f>VLOOKUP("~"&amp;GroupVertices[[#This Row],[Vertex]],Vertices[],MATCH("ID",Vertices[[#Headers],[Vertex]:[Top Word Pairs in Comment by Salience]],0),FALSE)</f>
        <v>42</v>
      </c>
    </row>
    <row r="682" spans="1:3" ht="15">
      <c r="A682" s="82" t="s">
        <v>3388</v>
      </c>
      <c r="B682" s="84" t="s">
        <v>220</v>
      </c>
      <c r="C682" s="81">
        <f>VLOOKUP("~"&amp;GroupVertices[[#This Row],[Vertex]],Vertices[],MATCH("ID",Vertices[[#Headers],[Vertex]:[Top Word Pairs in Comment by Salience]],0),FALSE)</f>
        <v>41</v>
      </c>
    </row>
    <row r="683" spans="1:3" ht="15">
      <c r="A683" s="82" t="s">
        <v>3388</v>
      </c>
      <c r="B683" s="84" t="s">
        <v>219</v>
      </c>
      <c r="C683" s="81">
        <f>VLOOKUP("~"&amp;GroupVertices[[#This Row],[Vertex]],Vertices[],MATCH("ID",Vertices[[#Headers],[Vertex]:[Top Word Pairs in Comment by Salience]],0),FALSE)</f>
        <v>40</v>
      </c>
    </row>
    <row r="684" spans="1:3" ht="15">
      <c r="A684" s="82" t="s">
        <v>3388</v>
      </c>
      <c r="B684" s="84" t="s">
        <v>218</v>
      </c>
      <c r="C684" s="81">
        <f>VLOOKUP("~"&amp;GroupVertices[[#This Row],[Vertex]],Vertices[],MATCH("ID",Vertices[[#Headers],[Vertex]:[Top Word Pairs in Comment by Salience]],0),FALSE)</f>
        <v>39</v>
      </c>
    </row>
    <row r="685" spans="1:3" ht="15">
      <c r="A685" s="82" t="s">
        <v>3388</v>
      </c>
      <c r="B685" s="84" t="s">
        <v>217</v>
      </c>
      <c r="C685" s="81">
        <f>VLOOKUP("~"&amp;GroupVertices[[#This Row],[Vertex]],Vertices[],MATCH("ID",Vertices[[#Headers],[Vertex]:[Top Word Pairs in Comment by Salience]],0),FALSE)</f>
        <v>38</v>
      </c>
    </row>
    <row r="686" spans="1:3" ht="15">
      <c r="A686" s="82" t="s">
        <v>3388</v>
      </c>
      <c r="B686" s="84" t="s">
        <v>216</v>
      </c>
      <c r="C686" s="81">
        <f>VLOOKUP("~"&amp;GroupVertices[[#This Row],[Vertex]],Vertices[],MATCH("ID",Vertices[[#Headers],[Vertex]:[Top Word Pairs in Comment by Salience]],0),FALSE)</f>
        <v>37</v>
      </c>
    </row>
    <row r="687" spans="1:3" ht="15">
      <c r="A687" s="82" t="s">
        <v>3388</v>
      </c>
      <c r="B687" s="84" t="s">
        <v>215</v>
      </c>
      <c r="C687" s="81">
        <f>VLOOKUP("~"&amp;GroupVertices[[#This Row],[Vertex]],Vertices[],MATCH("ID",Vertices[[#Headers],[Vertex]:[Top Word Pairs in Comment by Salience]],0),FALSE)</f>
        <v>36</v>
      </c>
    </row>
    <row r="688" spans="1:3" ht="15">
      <c r="A688" s="82" t="s">
        <v>3388</v>
      </c>
      <c r="B688" s="84" t="s">
        <v>214</v>
      </c>
      <c r="C688" s="81">
        <f>VLOOKUP("~"&amp;GroupVertices[[#This Row],[Vertex]],Vertices[],MATCH("ID",Vertices[[#Headers],[Vertex]:[Top Word Pairs in Comment by Salience]],0),FALSE)</f>
        <v>35</v>
      </c>
    </row>
    <row r="689" spans="1:3" ht="15">
      <c r="A689" s="82" t="s">
        <v>3388</v>
      </c>
      <c r="B689" s="84" t="s">
        <v>213</v>
      </c>
      <c r="C689" s="81">
        <f>VLOOKUP("~"&amp;GroupVertices[[#This Row],[Vertex]],Vertices[],MATCH("ID",Vertices[[#Headers],[Vertex]:[Top Word Pairs in Comment by Salience]],0),FALSE)</f>
        <v>34</v>
      </c>
    </row>
    <row r="690" spans="1:3" ht="15">
      <c r="A690" s="82" t="s">
        <v>3388</v>
      </c>
      <c r="B690" s="84" t="s">
        <v>212</v>
      </c>
      <c r="C690" s="81">
        <f>VLOOKUP("~"&amp;GroupVertices[[#This Row],[Vertex]],Vertices[],MATCH("ID",Vertices[[#Headers],[Vertex]:[Top Word Pairs in Comment by Salience]],0),FALSE)</f>
        <v>33</v>
      </c>
    </row>
    <row r="691" spans="1:3" ht="15">
      <c r="A691" s="82" t="s">
        <v>3388</v>
      </c>
      <c r="B691" s="84" t="s">
        <v>211</v>
      </c>
      <c r="C691" s="81">
        <f>VLOOKUP("~"&amp;GroupVertices[[#This Row],[Vertex]],Vertices[],MATCH("ID",Vertices[[#Headers],[Vertex]:[Top Word Pairs in Comment by Salience]],0),FALSE)</f>
        <v>32</v>
      </c>
    </row>
    <row r="692" spans="1:3" ht="15">
      <c r="A692" s="82" t="s">
        <v>3388</v>
      </c>
      <c r="B692" s="84" t="s">
        <v>908</v>
      </c>
      <c r="C692" s="81">
        <f>VLOOKUP("~"&amp;GroupVertices[[#This Row],[Vertex]],Vertices[],MATCH("ID",Vertices[[#Headers],[Vertex]:[Top Word Pairs in Comment by Salience]],0),FALSE)</f>
        <v>31</v>
      </c>
    </row>
    <row r="693" spans="1:3" ht="15">
      <c r="A693" s="82" t="s">
        <v>3389</v>
      </c>
      <c r="B693" s="84" t="s">
        <v>621</v>
      </c>
      <c r="C693" s="81">
        <f>VLOOKUP("~"&amp;GroupVertices[[#This Row],[Vertex]],Vertices[],MATCH("ID",Vertices[[#Headers],[Vertex]:[Top Word Pairs in Comment by Salience]],0),FALSE)</f>
        <v>432</v>
      </c>
    </row>
    <row r="694" spans="1:3" ht="15">
      <c r="A694" s="82" t="s">
        <v>3389</v>
      </c>
      <c r="B694" s="84" t="s">
        <v>904</v>
      </c>
      <c r="C694" s="81">
        <f>VLOOKUP("~"&amp;GroupVertices[[#This Row],[Vertex]],Vertices[],MATCH("ID",Vertices[[#Headers],[Vertex]:[Top Word Pairs in Comment by Salience]],0),FALSE)</f>
        <v>29</v>
      </c>
    </row>
    <row r="695" spans="1:3" ht="15">
      <c r="A695" s="82" t="s">
        <v>3389</v>
      </c>
      <c r="B695" s="84" t="s">
        <v>620</v>
      </c>
      <c r="C695" s="81">
        <f>VLOOKUP("~"&amp;GroupVertices[[#This Row],[Vertex]],Vertices[],MATCH("ID",Vertices[[#Headers],[Vertex]:[Top Word Pairs in Comment by Salience]],0),FALSE)</f>
        <v>431</v>
      </c>
    </row>
    <row r="696" spans="1:3" ht="15">
      <c r="A696" s="82" t="s">
        <v>3389</v>
      </c>
      <c r="B696" s="84" t="s">
        <v>619</v>
      </c>
      <c r="C696" s="81">
        <f>VLOOKUP("~"&amp;GroupVertices[[#This Row],[Vertex]],Vertices[],MATCH("ID",Vertices[[#Headers],[Vertex]:[Top Word Pairs in Comment by Salience]],0),FALSE)</f>
        <v>430</v>
      </c>
    </row>
    <row r="697" spans="1:3" ht="15">
      <c r="A697" s="82" t="s">
        <v>3390</v>
      </c>
      <c r="B697" s="84" t="s">
        <v>265</v>
      </c>
      <c r="C697" s="81">
        <f>VLOOKUP("~"&amp;GroupVertices[[#This Row],[Vertex]],Vertices[],MATCH("ID",Vertices[[#Headers],[Vertex]:[Top Word Pairs in Comment by Salience]],0),FALSE)</f>
        <v>86</v>
      </c>
    </row>
    <row r="698" spans="1:3" ht="15">
      <c r="A698" s="82" t="s">
        <v>3390</v>
      </c>
      <c r="B698" s="84" t="s">
        <v>900</v>
      </c>
      <c r="C698" s="81">
        <f>VLOOKUP("~"&amp;GroupVertices[[#This Row],[Vertex]],Vertices[],MATCH("ID",Vertices[[#Headers],[Vertex]:[Top Word Pairs in Comment by Salience]],0),FALSE)</f>
        <v>30</v>
      </c>
    </row>
    <row r="699" spans="1:3" ht="15">
      <c r="A699" s="82" t="s">
        <v>3390</v>
      </c>
      <c r="B699" s="84" t="s">
        <v>264</v>
      </c>
      <c r="C699" s="81">
        <f>VLOOKUP("~"&amp;GroupVertices[[#This Row],[Vertex]],Vertices[],MATCH("ID",Vertices[[#Headers],[Vertex]:[Top Word Pairs in Comment by Salience]],0),FALSE)</f>
        <v>85</v>
      </c>
    </row>
  </sheetData>
  <dataValidations count="3" xWindow="58" yWindow="226">
    <dataValidation allowBlank="1" showInputMessage="1" showErrorMessage="1" promptTitle="Group Name" prompt="Enter the name of the group.  The group name must also be entered on the Groups worksheet." sqref="A2:A699"/>
    <dataValidation allowBlank="1" showInputMessage="1" showErrorMessage="1" promptTitle="Vertex Name" prompt="Enter the name of a vertex to include in the group." sqref="B2:B699"/>
    <dataValidation allowBlank="1" showInputMessage="1" promptTitle="Vertex ID" prompt="This is the value of the hidden ID cell in the Vertices worksheet.  It gets filled in by the items on the NodeXL, Analysis, Groups menu." sqref="C2:C6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3416</v>
      </c>
      <c r="B2" s="35" t="s">
        <v>192</v>
      </c>
      <c r="D2" s="32">
        <f>MIN(Vertices[Degree])</f>
        <v>0</v>
      </c>
      <c r="E2" s="3">
        <f>COUNTIF(Vertices[Degree],"&gt;= "&amp;D2)-COUNTIF(Vertices[Degree],"&gt;="&amp;D3)</f>
        <v>0</v>
      </c>
      <c r="F2" s="38">
        <f>MIN(Vertices[In-Degree])</f>
        <v>0</v>
      </c>
      <c r="G2" s="39">
        <f>COUNTIF(Vertices[In-Degree],"&gt;= "&amp;F2)-COUNTIF(Vertices[In-Degree],"&gt;="&amp;F3)</f>
        <v>691</v>
      </c>
      <c r="H2" s="38">
        <f>MIN(Vertices[Out-Degree])</f>
        <v>1</v>
      </c>
      <c r="I2" s="39">
        <f>COUNTIF(Vertices[Out-Degree],"&gt;= "&amp;H2)-COUNTIF(Vertices[Out-Degree],"&gt;="&amp;H3)</f>
        <v>679</v>
      </c>
      <c r="J2" s="38">
        <f>MIN(Vertices[Betweenness Centrality])</f>
        <v>0</v>
      </c>
      <c r="K2" s="39">
        <f>COUNTIF(Vertices[Betweenness Centrality],"&gt;= "&amp;J2)-COUNTIF(Vertices[Betweenness Centrality],"&gt;="&amp;J3)</f>
        <v>672</v>
      </c>
      <c r="L2" s="38">
        <f>MIN(Vertices[Closeness Centrality])</f>
        <v>0.001913</v>
      </c>
      <c r="M2" s="39">
        <f>COUNTIF(Vertices[Closeness Centrality],"&gt;= "&amp;L2)-COUNTIF(Vertices[Closeness Centrality],"&gt;="&amp;L3)</f>
        <v>7</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5.117647058823529</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6991.514005588235</v>
      </c>
      <c r="K3" s="41">
        <f>COUNTIF(Vertices[Betweenness Centrality],"&gt;= "&amp;J3)-COUNTIF(Vertices[Betweenness Centrality],"&gt;="&amp;J4)</f>
        <v>0</v>
      </c>
      <c r="L3" s="40">
        <f aca="true" t="shared" si="5" ref="L3:L35">L2+($L$36-$L$2)/BinDivisor</f>
        <v>0.011993117647058824</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698</v>
      </c>
      <c r="D4" s="33">
        <f t="shared" si="1"/>
        <v>0</v>
      </c>
      <c r="E4" s="3">
        <f>COUNTIF(Vertices[Degree],"&gt;= "&amp;D4)-COUNTIF(Vertices[Degree],"&gt;="&amp;D5)</f>
        <v>0</v>
      </c>
      <c r="F4" s="38">
        <f t="shared" si="2"/>
        <v>10.235294117647058</v>
      </c>
      <c r="G4" s="39">
        <f>COUNTIF(Vertices[In-Degree],"&gt;= "&amp;F4)-COUNTIF(Vertices[In-Degree],"&gt;="&amp;F5)</f>
        <v>0</v>
      </c>
      <c r="H4" s="38">
        <f t="shared" si="3"/>
        <v>1.0588235294117645</v>
      </c>
      <c r="I4" s="39">
        <f>COUNTIF(Vertices[Out-Degree],"&gt;= "&amp;H4)-COUNTIF(Vertices[Out-Degree],"&gt;="&amp;H5)</f>
        <v>0</v>
      </c>
      <c r="J4" s="38">
        <f t="shared" si="4"/>
        <v>13983.02801117647</v>
      </c>
      <c r="K4" s="39">
        <f>COUNTIF(Vertices[Betweenness Centrality],"&gt;= "&amp;J4)-COUNTIF(Vertices[Betweenness Centrality],"&gt;="&amp;J5)</f>
        <v>5</v>
      </c>
      <c r="L4" s="38">
        <f t="shared" si="5"/>
        <v>0.02207323529411765</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15.352941176470587</v>
      </c>
      <c r="G5" s="41">
        <f>COUNTIF(Vertices[In-Degree],"&gt;= "&amp;F5)-COUNTIF(Vertices[In-Degree],"&gt;="&amp;F6)</f>
        <v>0</v>
      </c>
      <c r="H5" s="40">
        <f t="shared" si="3"/>
        <v>1.0882352941176467</v>
      </c>
      <c r="I5" s="41">
        <f>COUNTIF(Vertices[Out-Degree],"&gt;= "&amp;H5)-COUNTIF(Vertices[Out-Degree],"&gt;="&amp;H6)</f>
        <v>0</v>
      </c>
      <c r="J5" s="40">
        <f t="shared" si="4"/>
        <v>20974.542016764703</v>
      </c>
      <c r="K5" s="41">
        <f>COUNTIF(Vertices[Betweenness Centrality],"&gt;= "&amp;J5)-COUNTIF(Vertices[Betweenness Centrality],"&gt;="&amp;J6)</f>
        <v>7</v>
      </c>
      <c r="L5" s="40">
        <f t="shared" si="5"/>
        <v>0.03215335294117647</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669</v>
      </c>
      <c r="D6" s="33">
        <f t="shared" si="1"/>
        <v>0</v>
      </c>
      <c r="E6" s="3">
        <f>COUNTIF(Vertices[Degree],"&gt;= "&amp;D6)-COUNTIF(Vertices[Degree],"&gt;="&amp;D7)</f>
        <v>0</v>
      </c>
      <c r="F6" s="38">
        <f t="shared" si="2"/>
        <v>20.470588235294116</v>
      </c>
      <c r="G6" s="39">
        <f>COUNTIF(Vertices[In-Degree],"&gt;= "&amp;F6)-COUNTIF(Vertices[In-Degree],"&gt;="&amp;F7)</f>
        <v>0</v>
      </c>
      <c r="H6" s="38">
        <f t="shared" si="3"/>
        <v>1.117647058823529</v>
      </c>
      <c r="I6" s="39">
        <f>COUNTIF(Vertices[Out-Degree],"&gt;= "&amp;H6)-COUNTIF(Vertices[Out-Degree],"&gt;="&amp;H7)</f>
        <v>0</v>
      </c>
      <c r="J6" s="38">
        <f t="shared" si="4"/>
        <v>27966.05602235294</v>
      </c>
      <c r="K6" s="39">
        <f>COUNTIF(Vertices[Betweenness Centrality],"&gt;= "&amp;J6)-COUNTIF(Vertices[Betweenness Centrality],"&gt;="&amp;J7)</f>
        <v>1</v>
      </c>
      <c r="L6" s="38">
        <f t="shared" si="5"/>
        <v>0.042233470588235296</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25.588235294117645</v>
      </c>
      <c r="G7" s="41">
        <f>COUNTIF(Vertices[In-Degree],"&gt;= "&amp;F7)-COUNTIF(Vertices[In-Degree],"&gt;="&amp;F8)</f>
        <v>0</v>
      </c>
      <c r="H7" s="40">
        <f t="shared" si="3"/>
        <v>1.1470588235294112</v>
      </c>
      <c r="I7" s="41">
        <f>COUNTIF(Vertices[Out-Degree],"&gt;= "&amp;H7)-COUNTIF(Vertices[Out-Degree],"&gt;="&amp;H8)</f>
        <v>0</v>
      </c>
      <c r="J7" s="40">
        <f t="shared" si="4"/>
        <v>34957.570027941176</v>
      </c>
      <c r="K7" s="41">
        <f>COUNTIF(Vertices[Betweenness Centrality],"&gt;= "&amp;J7)-COUNTIF(Vertices[Betweenness Centrality],"&gt;="&amp;J8)</f>
        <v>2</v>
      </c>
      <c r="L7" s="40">
        <f t="shared" si="5"/>
        <v>0.05231358823529412</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788</v>
      </c>
      <c r="D8" s="33">
        <f t="shared" si="1"/>
        <v>0</v>
      </c>
      <c r="E8" s="3">
        <f>COUNTIF(Vertices[Degree],"&gt;= "&amp;D8)-COUNTIF(Vertices[Degree],"&gt;="&amp;D9)</f>
        <v>0</v>
      </c>
      <c r="F8" s="38">
        <f t="shared" si="2"/>
        <v>30.705882352941174</v>
      </c>
      <c r="G8" s="39">
        <f>COUNTIF(Vertices[In-Degree],"&gt;= "&amp;F8)-COUNTIF(Vertices[In-Degree],"&gt;="&amp;F9)</f>
        <v>0</v>
      </c>
      <c r="H8" s="38">
        <f t="shared" si="3"/>
        <v>1.1764705882352935</v>
      </c>
      <c r="I8" s="39">
        <f>COUNTIF(Vertices[Out-Degree],"&gt;= "&amp;H8)-COUNTIF(Vertices[Out-Degree],"&gt;="&amp;H9)</f>
        <v>0</v>
      </c>
      <c r="J8" s="38">
        <f t="shared" si="4"/>
        <v>41949.08403352941</v>
      </c>
      <c r="K8" s="39">
        <f>COUNTIF(Vertices[Betweenness Centrality],"&gt;= "&amp;J8)-COUNTIF(Vertices[Betweenness Centrality],"&gt;="&amp;J9)</f>
        <v>0</v>
      </c>
      <c r="L8" s="38">
        <f t="shared" si="5"/>
        <v>0.06239370588235294</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35.8235294117647</v>
      </c>
      <c r="G9" s="41">
        <f>COUNTIF(Vertices[In-Degree],"&gt;= "&amp;F9)-COUNTIF(Vertices[In-Degree],"&gt;="&amp;F10)</f>
        <v>0</v>
      </c>
      <c r="H9" s="40">
        <f t="shared" si="3"/>
        <v>1.2058823529411757</v>
      </c>
      <c r="I9" s="41">
        <f>COUNTIF(Vertices[Out-Degree],"&gt;= "&amp;H9)-COUNTIF(Vertices[Out-Degree],"&gt;="&amp;H10)</f>
        <v>0</v>
      </c>
      <c r="J9" s="40">
        <f t="shared" si="4"/>
        <v>48940.59803911765</v>
      </c>
      <c r="K9" s="41">
        <f>COUNTIF(Vertices[Betweenness Centrality],"&gt;= "&amp;J9)-COUNTIF(Vertices[Betweenness Centrality],"&gt;="&amp;J10)</f>
        <v>3</v>
      </c>
      <c r="L9" s="40">
        <f t="shared" si="5"/>
        <v>0.07247382352941177</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18</v>
      </c>
      <c r="D10" s="33">
        <f t="shared" si="1"/>
        <v>0</v>
      </c>
      <c r="E10" s="3">
        <f>COUNTIF(Vertices[Degree],"&gt;= "&amp;D10)-COUNTIF(Vertices[Degree],"&gt;="&amp;D11)</f>
        <v>0</v>
      </c>
      <c r="F10" s="38">
        <f t="shared" si="2"/>
        <v>40.94117647058823</v>
      </c>
      <c r="G10" s="39">
        <f>COUNTIF(Vertices[In-Degree],"&gt;= "&amp;F10)-COUNTIF(Vertices[In-Degree],"&gt;="&amp;F11)</f>
        <v>0</v>
      </c>
      <c r="H10" s="38">
        <f t="shared" si="3"/>
        <v>1.235294117647058</v>
      </c>
      <c r="I10" s="39">
        <f>COUNTIF(Vertices[Out-Degree],"&gt;= "&amp;H10)-COUNTIF(Vertices[Out-Degree],"&gt;="&amp;H11)</f>
        <v>0</v>
      </c>
      <c r="J10" s="38">
        <f t="shared" si="4"/>
        <v>55932.112044705886</v>
      </c>
      <c r="K10" s="39">
        <f>COUNTIF(Vertices[Betweenness Centrality],"&gt;= "&amp;J10)-COUNTIF(Vertices[Betweenness Centrality],"&gt;="&amp;J11)</f>
        <v>1</v>
      </c>
      <c r="L10" s="38">
        <f t="shared" si="5"/>
        <v>0.0825539411764706</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46.05882352941176</v>
      </c>
      <c r="G11" s="41">
        <f>COUNTIF(Vertices[In-Degree],"&gt;= "&amp;F11)-COUNTIF(Vertices[In-Degree],"&gt;="&amp;F12)</f>
        <v>0</v>
      </c>
      <c r="H11" s="40">
        <f t="shared" si="3"/>
        <v>1.2647058823529402</v>
      </c>
      <c r="I11" s="41">
        <f>COUNTIF(Vertices[Out-Degree],"&gt;= "&amp;H11)-COUNTIF(Vertices[Out-Degree],"&gt;="&amp;H12)</f>
        <v>0</v>
      </c>
      <c r="J11" s="40">
        <f t="shared" si="4"/>
        <v>62923.62605029412</v>
      </c>
      <c r="K11" s="41">
        <f>COUNTIF(Vertices[Betweenness Centrality],"&gt;= "&amp;J11)-COUNTIF(Vertices[Betweenness Centrality],"&gt;="&amp;J12)</f>
        <v>0</v>
      </c>
      <c r="L11" s="40">
        <f t="shared" si="5"/>
        <v>0.09263405882352942</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51.17647058823529</v>
      </c>
      <c r="G12" s="39">
        <f>COUNTIF(Vertices[In-Degree],"&gt;= "&amp;F12)-COUNTIF(Vertices[In-Degree],"&gt;="&amp;F13)</f>
        <v>0</v>
      </c>
      <c r="H12" s="38">
        <f t="shared" si="3"/>
        <v>1.2941176470588225</v>
      </c>
      <c r="I12" s="39">
        <f>COUNTIF(Vertices[Out-Degree],"&gt;= "&amp;H12)-COUNTIF(Vertices[Out-Degree],"&gt;="&amp;H13)</f>
        <v>0</v>
      </c>
      <c r="J12" s="38">
        <f t="shared" si="4"/>
        <v>69915.14005588235</v>
      </c>
      <c r="K12" s="39">
        <f>COUNTIF(Vertices[Betweenness Centrality],"&gt;= "&amp;J12)-COUNTIF(Vertices[Betweenness Centrality],"&gt;="&amp;J13)</f>
        <v>0</v>
      </c>
      <c r="L12" s="38">
        <f t="shared" si="5"/>
        <v>0.10271417647058824</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56.29411764705882</v>
      </c>
      <c r="G13" s="41">
        <f>COUNTIF(Vertices[In-Degree],"&gt;= "&amp;F13)-COUNTIF(Vertices[In-Degree],"&gt;="&amp;F14)</f>
        <v>1</v>
      </c>
      <c r="H13" s="40">
        <f t="shared" si="3"/>
        <v>1.3235294117647047</v>
      </c>
      <c r="I13" s="41">
        <f>COUNTIF(Vertices[Out-Degree],"&gt;= "&amp;H13)-COUNTIF(Vertices[Out-Degree],"&gt;="&amp;H14)</f>
        <v>0</v>
      </c>
      <c r="J13" s="40">
        <f t="shared" si="4"/>
        <v>76906.65406147059</v>
      </c>
      <c r="K13" s="41">
        <f>COUNTIF(Vertices[Betweenness Centrality],"&gt;= "&amp;J13)-COUNTIF(Vertices[Betweenness Centrality],"&gt;="&amp;J14)</f>
        <v>0</v>
      </c>
      <c r="L13" s="40">
        <f t="shared" si="5"/>
        <v>0.11279429411764706</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5"/>
      <c r="B14" s="115"/>
      <c r="D14" s="33">
        <f t="shared" si="1"/>
        <v>0</v>
      </c>
      <c r="E14" s="3">
        <f>COUNTIF(Vertices[Degree],"&gt;= "&amp;D14)-COUNTIF(Vertices[Degree],"&gt;="&amp;D15)</f>
        <v>0</v>
      </c>
      <c r="F14" s="38">
        <f t="shared" si="2"/>
        <v>61.41176470588235</v>
      </c>
      <c r="G14" s="39">
        <f>COUNTIF(Vertices[In-Degree],"&gt;= "&amp;F14)-COUNTIF(Vertices[In-Degree],"&gt;="&amp;F15)</f>
        <v>0</v>
      </c>
      <c r="H14" s="38">
        <f t="shared" si="3"/>
        <v>1.352941176470587</v>
      </c>
      <c r="I14" s="39">
        <f>COUNTIF(Vertices[Out-Degree],"&gt;= "&amp;H14)-COUNTIF(Vertices[Out-Degree],"&gt;="&amp;H15)</f>
        <v>0</v>
      </c>
      <c r="J14" s="38">
        <f t="shared" si="4"/>
        <v>83898.16806705882</v>
      </c>
      <c r="K14" s="39">
        <f>COUNTIF(Vertices[Betweenness Centrality],"&gt;= "&amp;J14)-COUNTIF(Vertices[Betweenness Centrality],"&gt;="&amp;J15)</f>
        <v>0</v>
      </c>
      <c r="L14" s="38">
        <f t="shared" si="5"/>
        <v>0.12287441176470588</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3</v>
      </c>
      <c r="D15" s="33">
        <f t="shared" si="1"/>
        <v>0</v>
      </c>
      <c r="E15" s="3">
        <f>COUNTIF(Vertices[Degree],"&gt;= "&amp;D15)-COUNTIF(Vertices[Degree],"&gt;="&amp;D16)</f>
        <v>0</v>
      </c>
      <c r="F15" s="40">
        <f t="shared" si="2"/>
        <v>66.52941176470588</v>
      </c>
      <c r="G15" s="41">
        <f>COUNTIF(Vertices[In-Degree],"&gt;= "&amp;F15)-COUNTIF(Vertices[In-Degree],"&gt;="&amp;F16)</f>
        <v>0</v>
      </c>
      <c r="H15" s="40">
        <f t="shared" si="3"/>
        <v>1.3823529411764692</v>
      </c>
      <c r="I15" s="41">
        <f>COUNTIF(Vertices[Out-Degree],"&gt;= "&amp;H15)-COUNTIF(Vertices[Out-Degree],"&gt;="&amp;H16)</f>
        <v>0</v>
      </c>
      <c r="J15" s="40">
        <f t="shared" si="4"/>
        <v>90889.68207264706</v>
      </c>
      <c r="K15" s="41">
        <f>COUNTIF(Vertices[Betweenness Centrality],"&gt;= "&amp;J15)-COUNTIF(Vertices[Betweenness Centrality],"&gt;="&amp;J16)</f>
        <v>0</v>
      </c>
      <c r="L15" s="40">
        <f t="shared" si="5"/>
        <v>0.13295452941176472</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71.64705882352942</v>
      </c>
      <c r="G16" s="39">
        <f>COUNTIF(Vertices[In-Degree],"&gt;= "&amp;F16)-COUNTIF(Vertices[In-Degree],"&gt;="&amp;F17)</f>
        <v>0</v>
      </c>
      <c r="H16" s="38">
        <f t="shared" si="3"/>
        <v>1.4117647058823515</v>
      </c>
      <c r="I16" s="39">
        <f>COUNTIF(Vertices[Out-Degree],"&gt;= "&amp;H16)-COUNTIF(Vertices[Out-Degree],"&gt;="&amp;H17)</f>
        <v>0</v>
      </c>
      <c r="J16" s="38">
        <f t="shared" si="4"/>
        <v>97881.1960782353</v>
      </c>
      <c r="K16" s="39">
        <f>COUNTIF(Vertices[Betweenness Centrality],"&gt;= "&amp;J16)-COUNTIF(Vertices[Betweenness Centrality],"&gt;="&amp;J17)</f>
        <v>0</v>
      </c>
      <c r="L16" s="38">
        <f t="shared" si="5"/>
        <v>0.14303464705882354</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691</v>
      </c>
      <c r="D17" s="33">
        <f t="shared" si="1"/>
        <v>0</v>
      </c>
      <c r="E17" s="3">
        <f>COUNTIF(Vertices[Degree],"&gt;= "&amp;D17)-COUNTIF(Vertices[Degree],"&gt;="&amp;D18)</f>
        <v>0</v>
      </c>
      <c r="F17" s="40">
        <f t="shared" si="2"/>
        <v>76.76470588235296</v>
      </c>
      <c r="G17" s="41">
        <f>COUNTIF(Vertices[In-Degree],"&gt;= "&amp;F17)-COUNTIF(Vertices[In-Degree],"&gt;="&amp;F18)</f>
        <v>0</v>
      </c>
      <c r="H17" s="40">
        <f t="shared" si="3"/>
        <v>1.4411764705882337</v>
      </c>
      <c r="I17" s="41">
        <f>COUNTIF(Vertices[Out-Degree],"&gt;= "&amp;H17)-COUNTIF(Vertices[Out-Degree],"&gt;="&amp;H18)</f>
        <v>0</v>
      </c>
      <c r="J17" s="40">
        <f t="shared" si="4"/>
        <v>104872.71008382353</v>
      </c>
      <c r="K17" s="41">
        <f>COUNTIF(Vertices[Betweenness Centrality],"&gt;= "&amp;J17)-COUNTIF(Vertices[Betweenness Centrality],"&gt;="&amp;J18)</f>
        <v>2</v>
      </c>
      <c r="L17" s="40">
        <f t="shared" si="5"/>
        <v>0.15311476470588237</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781</v>
      </c>
      <c r="D18" s="33">
        <f t="shared" si="1"/>
        <v>0</v>
      </c>
      <c r="E18" s="3">
        <f>COUNTIF(Vertices[Degree],"&gt;= "&amp;D18)-COUNTIF(Vertices[Degree],"&gt;="&amp;D19)</f>
        <v>0</v>
      </c>
      <c r="F18" s="38">
        <f t="shared" si="2"/>
        <v>81.88235294117649</v>
      </c>
      <c r="G18" s="39">
        <f>COUNTIF(Vertices[In-Degree],"&gt;= "&amp;F18)-COUNTIF(Vertices[In-Degree],"&gt;="&amp;F19)</f>
        <v>0</v>
      </c>
      <c r="H18" s="38">
        <f t="shared" si="3"/>
        <v>1.470588235294116</v>
      </c>
      <c r="I18" s="39">
        <f>COUNTIF(Vertices[Out-Degree],"&gt;= "&amp;H18)-COUNTIF(Vertices[Out-Degree],"&gt;="&amp;H19)</f>
        <v>0</v>
      </c>
      <c r="J18" s="38">
        <f t="shared" si="4"/>
        <v>111864.22408941177</v>
      </c>
      <c r="K18" s="39">
        <f>COUNTIF(Vertices[Betweenness Centrality],"&gt;= "&amp;J18)-COUNTIF(Vertices[Betweenness Centrality],"&gt;="&amp;J19)</f>
        <v>0</v>
      </c>
      <c r="L18" s="38">
        <f t="shared" si="5"/>
        <v>0.1631948823529412</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87.00000000000003</v>
      </c>
      <c r="G19" s="41">
        <f>COUNTIF(Vertices[In-Degree],"&gt;= "&amp;F19)-COUNTIF(Vertices[In-Degree],"&gt;="&amp;F20)</f>
        <v>1</v>
      </c>
      <c r="H19" s="40">
        <f t="shared" si="3"/>
        <v>1.4999999999999982</v>
      </c>
      <c r="I19" s="41">
        <f>COUNTIF(Vertices[Out-Degree],"&gt;= "&amp;H19)-COUNTIF(Vertices[Out-Degree],"&gt;="&amp;H20)</f>
        <v>0</v>
      </c>
      <c r="J19" s="40">
        <f t="shared" si="4"/>
        <v>118855.73809500001</v>
      </c>
      <c r="K19" s="41">
        <f>COUNTIF(Vertices[Betweenness Centrality],"&gt;= "&amp;J19)-COUNTIF(Vertices[Betweenness Centrality],"&gt;="&amp;J20)</f>
        <v>2</v>
      </c>
      <c r="L19" s="40">
        <f t="shared" si="5"/>
        <v>0.173275</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92.11764705882356</v>
      </c>
      <c r="G20" s="39">
        <f>COUNTIF(Vertices[In-Degree],"&gt;= "&amp;F20)-COUNTIF(Vertices[In-Degree],"&gt;="&amp;F21)</f>
        <v>3</v>
      </c>
      <c r="H20" s="38">
        <f t="shared" si="3"/>
        <v>1.5294117647058805</v>
      </c>
      <c r="I20" s="39">
        <f>COUNTIF(Vertices[Out-Degree],"&gt;= "&amp;H20)-COUNTIF(Vertices[Out-Degree],"&gt;="&amp;H21)</f>
        <v>0</v>
      </c>
      <c r="J20" s="38">
        <f t="shared" si="4"/>
        <v>125847.25210058824</v>
      </c>
      <c r="K20" s="39">
        <f>COUNTIF(Vertices[Betweenness Centrality],"&gt;= "&amp;J20)-COUNTIF(Vertices[Betweenness Centrality],"&gt;="&amp;J21)</f>
        <v>0</v>
      </c>
      <c r="L20" s="38">
        <f t="shared" si="5"/>
        <v>0.18335511764705884</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4.393097</v>
      </c>
      <c r="D21" s="33">
        <f t="shared" si="1"/>
        <v>0</v>
      </c>
      <c r="E21" s="3">
        <f>COUNTIF(Vertices[Degree],"&gt;= "&amp;D21)-COUNTIF(Vertices[Degree],"&gt;="&amp;D22)</f>
        <v>0</v>
      </c>
      <c r="F21" s="40">
        <f t="shared" si="2"/>
        <v>97.2352941176471</v>
      </c>
      <c r="G21" s="41">
        <f>COUNTIF(Vertices[In-Degree],"&gt;= "&amp;F21)-COUNTIF(Vertices[In-Degree],"&gt;="&amp;F22)</f>
        <v>1</v>
      </c>
      <c r="H21" s="40">
        <f t="shared" si="3"/>
        <v>1.5588235294117627</v>
      </c>
      <c r="I21" s="41">
        <f>COUNTIF(Vertices[Out-Degree],"&gt;= "&amp;H21)-COUNTIF(Vertices[Out-Degree],"&gt;="&amp;H22)</f>
        <v>0</v>
      </c>
      <c r="J21" s="40">
        <f t="shared" si="4"/>
        <v>132838.76610617648</v>
      </c>
      <c r="K21" s="41">
        <f>COUNTIF(Vertices[Betweenness Centrality],"&gt;= "&amp;J21)-COUNTIF(Vertices[Betweenness Centrality],"&gt;="&amp;J22)</f>
        <v>1</v>
      </c>
      <c r="L21" s="40">
        <f t="shared" si="5"/>
        <v>0.19343523529411766</v>
      </c>
      <c r="M21" s="41">
        <f>COUNTIF(Vertices[Closeness Centrality],"&gt;= "&amp;L21)-COUNTIF(Vertices[Closeness Centrality],"&gt;="&amp;L22)</f>
        <v>85</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102.35294117647064</v>
      </c>
      <c r="G22" s="39">
        <f>COUNTIF(Vertices[In-Degree],"&gt;= "&amp;F22)-COUNTIF(Vertices[In-Degree],"&gt;="&amp;F23)</f>
        <v>0</v>
      </c>
      <c r="H22" s="38">
        <f t="shared" si="3"/>
        <v>1.588235294117645</v>
      </c>
      <c r="I22" s="39">
        <f>COUNTIF(Vertices[Out-Degree],"&gt;= "&amp;H22)-COUNTIF(Vertices[Out-Degree],"&gt;="&amp;H23)</f>
        <v>0</v>
      </c>
      <c r="J22" s="38">
        <f t="shared" si="4"/>
        <v>139830.2801117647</v>
      </c>
      <c r="K22" s="39">
        <f>COUNTIF(Vertices[Betweenness Centrality],"&gt;= "&amp;J22)-COUNTIF(Vertices[Betweenness Centrality],"&gt;="&amp;J23)</f>
        <v>0</v>
      </c>
      <c r="L22" s="38">
        <f t="shared" si="5"/>
        <v>0.20351535294117648</v>
      </c>
      <c r="M22" s="39">
        <f>COUNTIF(Vertices[Closeness Centrality],"&gt;= "&amp;L22)-COUNTIF(Vertices[Closeness Centrality],"&gt;="&amp;L23)</f>
        <v>92</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0.00145527496063769</v>
      </c>
      <c r="D23" s="33">
        <f t="shared" si="1"/>
        <v>0</v>
      </c>
      <c r="E23" s="3">
        <f>COUNTIF(Vertices[Degree],"&gt;= "&amp;D23)-COUNTIF(Vertices[Degree],"&gt;="&amp;D24)</f>
        <v>0</v>
      </c>
      <c r="F23" s="40">
        <f t="shared" si="2"/>
        <v>107.47058823529417</v>
      </c>
      <c r="G23" s="41">
        <f>COUNTIF(Vertices[In-Degree],"&gt;= "&amp;F23)-COUNTIF(Vertices[In-Degree],"&gt;="&amp;F24)</f>
        <v>0</v>
      </c>
      <c r="H23" s="40">
        <f t="shared" si="3"/>
        <v>1.6176470588235272</v>
      </c>
      <c r="I23" s="41">
        <f>COUNTIF(Vertices[Out-Degree],"&gt;= "&amp;H23)-COUNTIF(Vertices[Out-Degree],"&gt;="&amp;H24)</f>
        <v>0</v>
      </c>
      <c r="J23" s="40">
        <f t="shared" si="4"/>
        <v>146821.79411735293</v>
      </c>
      <c r="K23" s="41">
        <f>COUNTIF(Vertices[Betweenness Centrality],"&gt;= "&amp;J23)-COUNTIF(Vertices[Betweenness Centrality],"&gt;="&amp;J24)</f>
        <v>0</v>
      </c>
      <c r="L23" s="40">
        <f t="shared" si="5"/>
        <v>0.2135954705882353</v>
      </c>
      <c r="M23" s="41">
        <f>COUNTIF(Vertices[Closeness Centrality],"&gt;= "&amp;L23)-COUNTIF(Vertices[Closeness Centrality],"&gt;="&amp;L24)</f>
        <v>181</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3417</v>
      </c>
      <c r="B24" s="35">
        <v>0.754642</v>
      </c>
      <c r="D24" s="33">
        <f t="shared" si="1"/>
        <v>0</v>
      </c>
      <c r="E24" s="3">
        <f>COUNTIF(Vertices[Degree],"&gt;= "&amp;D24)-COUNTIF(Vertices[Degree],"&gt;="&amp;D25)</f>
        <v>0</v>
      </c>
      <c r="F24" s="38">
        <f t="shared" si="2"/>
        <v>112.58823529411771</v>
      </c>
      <c r="G24" s="39">
        <f>COUNTIF(Vertices[In-Degree],"&gt;= "&amp;F24)-COUNTIF(Vertices[In-Degree],"&gt;="&amp;F25)</f>
        <v>0</v>
      </c>
      <c r="H24" s="38">
        <f t="shared" si="3"/>
        <v>1.6470588235294095</v>
      </c>
      <c r="I24" s="39">
        <f>COUNTIF(Vertices[Out-Degree],"&gt;= "&amp;H24)-COUNTIF(Vertices[Out-Degree],"&gt;="&amp;H25)</f>
        <v>0</v>
      </c>
      <c r="J24" s="38">
        <f t="shared" si="4"/>
        <v>153813.30812294115</v>
      </c>
      <c r="K24" s="39">
        <f>COUNTIF(Vertices[Betweenness Centrality],"&gt;= "&amp;J24)-COUNTIF(Vertices[Betweenness Centrality],"&gt;="&amp;J25)</f>
        <v>0</v>
      </c>
      <c r="L24" s="38">
        <f t="shared" si="5"/>
        <v>0.22367558823529413</v>
      </c>
      <c r="M24" s="39">
        <f>COUNTIF(Vertices[Closeness Centrality],"&gt;= "&amp;L24)-COUNTIF(Vertices[Closeness Centrality],"&gt;="&amp;L25)</f>
        <v>221</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117.70588235294125</v>
      </c>
      <c r="G25" s="41">
        <f>COUNTIF(Vertices[In-Degree],"&gt;= "&amp;F25)-COUNTIF(Vertices[In-Degree],"&gt;="&amp;F26)</f>
        <v>0</v>
      </c>
      <c r="H25" s="40">
        <f t="shared" si="3"/>
        <v>1.6764705882352917</v>
      </c>
      <c r="I25" s="41">
        <f>COUNTIF(Vertices[Out-Degree],"&gt;= "&amp;H25)-COUNTIF(Vertices[Out-Degree],"&gt;="&amp;H26)</f>
        <v>0</v>
      </c>
      <c r="J25" s="40">
        <f t="shared" si="4"/>
        <v>160804.82212852937</v>
      </c>
      <c r="K25" s="41">
        <f>COUNTIF(Vertices[Betweenness Centrality],"&gt;= "&amp;J25)-COUNTIF(Vertices[Betweenness Centrality],"&gt;="&amp;J26)</f>
        <v>0</v>
      </c>
      <c r="L25" s="40">
        <f t="shared" si="5"/>
        <v>0.23375570588235295</v>
      </c>
      <c r="M25" s="41">
        <f>COUNTIF(Vertices[Closeness Centrality],"&gt;= "&amp;L25)-COUNTIF(Vertices[Closeness Centrality],"&gt;="&amp;L26)</f>
        <v>2</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3418</v>
      </c>
      <c r="B26" s="35" t="s">
        <v>3433</v>
      </c>
      <c r="D26" s="33">
        <f t="shared" si="1"/>
        <v>0</v>
      </c>
      <c r="E26" s="3">
        <f>COUNTIF(Vertices[Degree],"&gt;= "&amp;D26)-COUNTIF(Vertices[Degree],"&gt;="&amp;D27)</f>
        <v>0</v>
      </c>
      <c r="F26" s="38">
        <f t="shared" si="2"/>
        <v>122.82352941176478</v>
      </c>
      <c r="G26" s="39">
        <f>COUNTIF(Vertices[In-Degree],"&gt;= "&amp;F26)-COUNTIF(Vertices[In-Degree],"&gt;="&amp;F27)</f>
        <v>0</v>
      </c>
      <c r="H26" s="38">
        <f t="shared" si="3"/>
        <v>1.705882352941174</v>
      </c>
      <c r="I26" s="39">
        <f>COUNTIF(Vertices[Out-Degree],"&gt;= "&amp;H26)-COUNTIF(Vertices[Out-Degree],"&gt;="&amp;H27)</f>
        <v>0</v>
      </c>
      <c r="J26" s="38">
        <f t="shared" si="4"/>
        <v>167796.3361341176</v>
      </c>
      <c r="K26" s="39">
        <f>COUNTIF(Vertices[Betweenness Centrality],"&gt;= "&amp;J26)-COUNTIF(Vertices[Betweenness Centrality],"&gt;="&amp;J27)</f>
        <v>0</v>
      </c>
      <c r="L26" s="38">
        <f t="shared" si="5"/>
        <v>0.24383582352941177</v>
      </c>
      <c r="M26" s="39">
        <f>COUNTIF(Vertices[Closeness Centrality],"&gt;= "&amp;L26)-COUNTIF(Vertices[Closeness Centrality],"&gt;="&amp;L27)</f>
        <v>3</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127.94117647058832</v>
      </c>
      <c r="G27" s="41">
        <f>COUNTIF(Vertices[In-Degree],"&gt;= "&amp;F27)-COUNTIF(Vertices[In-Degree],"&gt;="&amp;F28)</f>
        <v>0</v>
      </c>
      <c r="H27" s="40">
        <f t="shared" si="3"/>
        <v>1.7352941176470562</v>
      </c>
      <c r="I27" s="41">
        <f>COUNTIF(Vertices[Out-Degree],"&gt;= "&amp;H27)-COUNTIF(Vertices[Out-Degree],"&gt;="&amp;H28)</f>
        <v>0</v>
      </c>
      <c r="J27" s="40">
        <f t="shared" si="4"/>
        <v>174787.8501397058</v>
      </c>
      <c r="K27" s="41">
        <f>COUNTIF(Vertices[Betweenness Centrality],"&gt;= "&amp;J27)-COUNTIF(Vertices[Betweenness Centrality],"&gt;="&amp;J28)</f>
        <v>0</v>
      </c>
      <c r="L27" s="40">
        <f t="shared" si="5"/>
        <v>0.2539159411764706</v>
      </c>
      <c r="M27" s="41">
        <f>COUNTIF(Vertices[Closeness Centrality],"&gt;= "&amp;L27)-COUNTIF(Vertices[Closeness Centrality],"&gt;="&amp;L28)</f>
        <v>88</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3419</v>
      </c>
      <c r="B28" s="35" t="s">
        <v>5063</v>
      </c>
      <c r="D28" s="33">
        <f t="shared" si="1"/>
        <v>0</v>
      </c>
      <c r="E28" s="3">
        <f>COUNTIF(Vertices[Degree],"&gt;= "&amp;D28)-COUNTIF(Vertices[Degree],"&gt;="&amp;D29)</f>
        <v>0</v>
      </c>
      <c r="F28" s="38">
        <f t="shared" si="2"/>
        <v>133.05882352941185</v>
      </c>
      <c r="G28" s="39">
        <f>COUNTIF(Vertices[In-Degree],"&gt;= "&amp;F28)-COUNTIF(Vertices[In-Degree],"&gt;="&amp;F29)</f>
        <v>0</v>
      </c>
      <c r="H28" s="38">
        <f t="shared" si="3"/>
        <v>1.7647058823529385</v>
      </c>
      <c r="I28" s="39">
        <f>COUNTIF(Vertices[Out-Degree],"&gt;= "&amp;H28)-COUNTIF(Vertices[Out-Degree],"&gt;="&amp;H29)</f>
        <v>0</v>
      </c>
      <c r="J28" s="38">
        <f t="shared" si="4"/>
        <v>181779.36414529404</v>
      </c>
      <c r="K28" s="39">
        <f>COUNTIF(Vertices[Betweenness Centrality],"&gt;= "&amp;J28)-COUNTIF(Vertices[Betweenness Centrality],"&gt;="&amp;J29)</f>
        <v>0</v>
      </c>
      <c r="L28" s="38">
        <f t="shared" si="5"/>
        <v>0.26399605882352944</v>
      </c>
      <c r="M28" s="39">
        <f>COUNTIF(Vertices[Closeness Centrality],"&gt;= "&amp;L28)-COUNTIF(Vertices[Closeness Centrality],"&gt;="&amp;L29)</f>
        <v>4</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3420</v>
      </c>
      <c r="B29" s="35" t="s">
        <v>5064</v>
      </c>
      <c r="D29" s="33">
        <f t="shared" si="1"/>
        <v>0</v>
      </c>
      <c r="E29" s="3">
        <f>COUNTIF(Vertices[Degree],"&gt;= "&amp;D29)-COUNTIF(Vertices[Degree],"&gt;="&amp;D30)</f>
        <v>0</v>
      </c>
      <c r="F29" s="40">
        <f t="shared" si="2"/>
        <v>138.1764705882354</v>
      </c>
      <c r="G29" s="41">
        <f>COUNTIF(Vertices[In-Degree],"&gt;= "&amp;F29)-COUNTIF(Vertices[In-Degree],"&gt;="&amp;F30)</f>
        <v>0</v>
      </c>
      <c r="H29" s="40">
        <f t="shared" si="3"/>
        <v>1.7941176470588207</v>
      </c>
      <c r="I29" s="41">
        <f>COUNTIF(Vertices[Out-Degree],"&gt;= "&amp;H29)-COUNTIF(Vertices[Out-Degree],"&gt;="&amp;H30)</f>
        <v>0</v>
      </c>
      <c r="J29" s="40">
        <f t="shared" si="4"/>
        <v>188770.87815088226</v>
      </c>
      <c r="K29" s="41">
        <f>COUNTIF(Vertices[Betweenness Centrality],"&gt;= "&amp;J29)-COUNTIF(Vertices[Betweenness Centrality],"&gt;="&amp;J30)</f>
        <v>0</v>
      </c>
      <c r="L29" s="40">
        <f t="shared" si="5"/>
        <v>0.2740761764705883</v>
      </c>
      <c r="M29" s="41">
        <f>COUNTIF(Vertices[Closeness Centrality],"&gt;= "&amp;L29)-COUNTIF(Vertices[Closeness Centrality],"&gt;="&amp;L30)</f>
        <v>5</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143.29411764705893</v>
      </c>
      <c r="G30" s="39">
        <f>COUNTIF(Vertices[In-Degree],"&gt;= "&amp;F30)-COUNTIF(Vertices[In-Degree],"&gt;="&amp;F31)</f>
        <v>0</v>
      </c>
      <c r="H30" s="38">
        <f t="shared" si="3"/>
        <v>1.823529411764703</v>
      </c>
      <c r="I30" s="39">
        <f>COUNTIF(Vertices[Out-Degree],"&gt;= "&amp;H30)-COUNTIF(Vertices[Out-Degree],"&gt;="&amp;H31)</f>
        <v>0</v>
      </c>
      <c r="J30" s="38">
        <f t="shared" si="4"/>
        <v>195762.39215647048</v>
      </c>
      <c r="K30" s="39">
        <f>COUNTIF(Vertices[Betweenness Centrality],"&gt;= "&amp;J30)-COUNTIF(Vertices[Betweenness Centrality],"&gt;="&amp;J31)</f>
        <v>0</v>
      </c>
      <c r="L30" s="38">
        <f t="shared" si="5"/>
        <v>0.28415629411764715</v>
      </c>
      <c r="M30" s="39">
        <f>COUNTIF(Vertices[Closeness Centrality],"&gt;= "&amp;L30)-COUNTIF(Vertices[Closeness Centrality],"&gt;="&amp;L31)</f>
        <v>5</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3421</v>
      </c>
      <c r="B31" s="35" t="s">
        <v>3434</v>
      </c>
      <c r="D31" s="33">
        <f t="shared" si="1"/>
        <v>0</v>
      </c>
      <c r="E31" s="3">
        <f>COUNTIF(Vertices[Degree],"&gt;= "&amp;D31)-COUNTIF(Vertices[Degree],"&gt;="&amp;D32)</f>
        <v>0</v>
      </c>
      <c r="F31" s="40">
        <f t="shared" si="2"/>
        <v>148.41176470588246</v>
      </c>
      <c r="G31" s="41">
        <f>COUNTIF(Vertices[In-Degree],"&gt;= "&amp;F31)-COUNTIF(Vertices[In-Degree],"&gt;="&amp;F32)</f>
        <v>0</v>
      </c>
      <c r="H31" s="40">
        <f t="shared" si="3"/>
        <v>1.8529411764705852</v>
      </c>
      <c r="I31" s="41">
        <f>COUNTIF(Vertices[Out-Degree],"&gt;= "&amp;H31)-COUNTIF(Vertices[Out-Degree],"&gt;="&amp;H32)</f>
        <v>0</v>
      </c>
      <c r="J31" s="40">
        <f t="shared" si="4"/>
        <v>202753.9061620587</v>
      </c>
      <c r="K31" s="41">
        <f>COUNTIF(Vertices[Betweenness Centrality],"&gt;= "&amp;J31)-COUNTIF(Vertices[Betweenness Centrality],"&gt;="&amp;J32)</f>
        <v>1</v>
      </c>
      <c r="L31" s="40">
        <f t="shared" si="5"/>
        <v>0.294236411764706</v>
      </c>
      <c r="M31" s="41">
        <f>COUNTIF(Vertices[Closeness Centrality],"&gt;= "&amp;L31)-COUNTIF(Vertices[Closeness Centrality],"&gt;="&amp;L32)</f>
        <v>2</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3422</v>
      </c>
      <c r="B32" s="35" t="s">
        <v>3435</v>
      </c>
      <c r="D32" s="33">
        <f t="shared" si="1"/>
        <v>0</v>
      </c>
      <c r="E32" s="3">
        <f>COUNTIF(Vertices[Degree],"&gt;= "&amp;D32)-COUNTIF(Vertices[Degree],"&gt;="&amp;D33)</f>
        <v>0</v>
      </c>
      <c r="F32" s="38">
        <f t="shared" si="2"/>
        <v>153.529411764706</v>
      </c>
      <c r="G32" s="39">
        <f>COUNTIF(Vertices[In-Degree],"&gt;= "&amp;F32)-COUNTIF(Vertices[In-Degree],"&gt;="&amp;F33)</f>
        <v>0</v>
      </c>
      <c r="H32" s="38">
        <f t="shared" si="3"/>
        <v>1.8823529411764675</v>
      </c>
      <c r="I32" s="39">
        <f>COUNTIF(Vertices[Out-Degree],"&gt;= "&amp;H32)-COUNTIF(Vertices[Out-Degree],"&gt;="&amp;H33)</f>
        <v>0</v>
      </c>
      <c r="J32" s="38">
        <f t="shared" si="4"/>
        <v>209745.42016764692</v>
      </c>
      <c r="K32" s="39">
        <f>COUNTIF(Vertices[Betweenness Centrality],"&gt;= "&amp;J32)-COUNTIF(Vertices[Betweenness Centrality],"&gt;="&amp;J33)</f>
        <v>0</v>
      </c>
      <c r="L32" s="38">
        <f t="shared" si="5"/>
        <v>0.30431652941176485</v>
      </c>
      <c r="M32" s="39">
        <f>COUNTIF(Vertices[Closeness Centrality],"&gt;= "&amp;L32)-COUNTIF(Vertices[Closeness Centrality],"&gt;="&amp;L33)</f>
        <v>2</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3423</v>
      </c>
      <c r="B33" s="55" t="s">
        <v>3436</v>
      </c>
      <c r="D33" s="33">
        <f t="shared" si="1"/>
        <v>0</v>
      </c>
      <c r="E33" s="3">
        <f>COUNTIF(Vertices[Degree],"&gt;= "&amp;D33)-COUNTIF(Vertices[Degree],"&gt;="&amp;D34)</f>
        <v>0</v>
      </c>
      <c r="F33" s="40">
        <f t="shared" si="2"/>
        <v>158.64705882352953</v>
      </c>
      <c r="G33" s="41">
        <f>COUNTIF(Vertices[In-Degree],"&gt;= "&amp;F33)-COUNTIF(Vertices[In-Degree],"&gt;="&amp;F34)</f>
        <v>0</v>
      </c>
      <c r="H33" s="40">
        <f t="shared" si="3"/>
        <v>1.9117647058823497</v>
      </c>
      <c r="I33" s="41">
        <f>COUNTIF(Vertices[Out-Degree],"&gt;= "&amp;H33)-COUNTIF(Vertices[Out-Degree],"&gt;="&amp;H34)</f>
        <v>0</v>
      </c>
      <c r="J33" s="40">
        <f t="shared" si="4"/>
        <v>216736.93417323515</v>
      </c>
      <c r="K33" s="41">
        <f>COUNTIF(Vertices[Betweenness Centrality],"&gt;= "&amp;J33)-COUNTIF(Vertices[Betweenness Centrality],"&gt;="&amp;J34)</f>
        <v>0</v>
      </c>
      <c r="L33" s="40">
        <f t="shared" si="5"/>
        <v>0.3143966470588237</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3424</v>
      </c>
      <c r="B34" s="35" t="s">
        <v>3437</v>
      </c>
      <c r="D34" s="33">
        <f t="shared" si="1"/>
        <v>0</v>
      </c>
      <c r="E34" s="3">
        <f>COUNTIF(Vertices[Degree],"&gt;= "&amp;D34)-COUNTIF(Vertices[Degree],"&gt;="&amp;D35)</f>
        <v>0</v>
      </c>
      <c r="F34" s="38">
        <f t="shared" si="2"/>
        <v>163.76470588235307</v>
      </c>
      <c r="G34" s="39">
        <f>COUNTIF(Vertices[In-Degree],"&gt;= "&amp;F34)-COUNTIF(Vertices[In-Degree],"&gt;="&amp;F35)</f>
        <v>0</v>
      </c>
      <c r="H34" s="38">
        <f t="shared" si="3"/>
        <v>1.941176470588232</v>
      </c>
      <c r="I34" s="39">
        <f>COUNTIF(Vertices[Out-Degree],"&gt;= "&amp;H34)-COUNTIF(Vertices[Out-Degree],"&gt;="&amp;H35)</f>
        <v>0</v>
      </c>
      <c r="J34" s="38">
        <f t="shared" si="4"/>
        <v>223728.44817882337</v>
      </c>
      <c r="K34" s="39">
        <f>COUNTIF(Vertices[Betweenness Centrality],"&gt;= "&amp;J34)-COUNTIF(Vertices[Betweenness Centrality],"&gt;="&amp;J35)</f>
        <v>0</v>
      </c>
      <c r="L34" s="38">
        <f t="shared" si="5"/>
        <v>0.32447676470588255</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3425</v>
      </c>
      <c r="B35" s="35" t="s">
        <v>3438</v>
      </c>
      <c r="D35" s="33">
        <f t="shared" si="1"/>
        <v>0</v>
      </c>
      <c r="E35" s="3">
        <f>COUNTIF(Vertices[Degree],"&gt;= "&amp;D35)-COUNTIF(Vertices[Degree],"&gt;="&amp;D36)</f>
        <v>0</v>
      </c>
      <c r="F35" s="40">
        <f t="shared" si="2"/>
        <v>168.8823529411766</v>
      </c>
      <c r="G35" s="41">
        <f>COUNTIF(Vertices[In-Degree],"&gt;= "&amp;F35)-COUNTIF(Vertices[In-Degree],"&gt;="&amp;F36)</f>
        <v>0</v>
      </c>
      <c r="H35" s="40">
        <f t="shared" si="3"/>
        <v>1.9705882352941142</v>
      </c>
      <c r="I35" s="41">
        <f>COUNTIF(Vertices[Out-Degree],"&gt;= "&amp;H35)-COUNTIF(Vertices[Out-Degree],"&gt;="&amp;H36)</f>
        <v>0</v>
      </c>
      <c r="J35" s="40">
        <f t="shared" si="4"/>
        <v>230719.9621844116</v>
      </c>
      <c r="K35" s="41">
        <f>COUNTIF(Vertices[Betweenness Centrality],"&gt;= "&amp;J35)-COUNTIF(Vertices[Betweenness Centrality],"&gt;="&amp;J36)</f>
        <v>0</v>
      </c>
      <c r="L35" s="40">
        <f t="shared" si="5"/>
        <v>0.3345568823529414</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3426</v>
      </c>
      <c r="B36" s="35"/>
      <c r="D36" s="33">
        <f>MAX(Vertices[Degree])</f>
        <v>0</v>
      </c>
      <c r="E36" s="3">
        <f>COUNTIF(Vertices[Degree],"&gt;= "&amp;D36)-COUNTIF(Vertices[Degree],"&gt;="&amp;#REF!)</f>
        <v>0</v>
      </c>
      <c r="F36" s="42">
        <f>MAX(Vertices[In-Degree])</f>
        <v>174</v>
      </c>
      <c r="G36" s="43">
        <f>COUNTIF(Vertices[In-Degree],"&gt;= "&amp;F36)-COUNTIF(Vertices[In-Degree],"&gt;="&amp;#REF!)</f>
        <v>1</v>
      </c>
      <c r="H36" s="42">
        <f>MAX(Vertices[Out-Degree])</f>
        <v>2</v>
      </c>
      <c r="I36" s="43">
        <f>COUNTIF(Vertices[Out-Degree],"&gt;= "&amp;H36)-COUNTIF(Vertices[Out-Degree],"&gt;="&amp;#REF!)</f>
        <v>19</v>
      </c>
      <c r="J36" s="42">
        <f>MAX(Vertices[Betweenness Centrality])</f>
        <v>237711.47619</v>
      </c>
      <c r="K36" s="43">
        <f>COUNTIF(Vertices[Betweenness Centrality],"&gt;= "&amp;J36)-COUNTIF(Vertices[Betweenness Centrality],"&gt;="&amp;#REF!)</f>
        <v>1</v>
      </c>
      <c r="L36" s="42">
        <f>MAX(Vertices[Closeness Centrality])</f>
        <v>0.344637</v>
      </c>
      <c r="M36" s="43">
        <f>COUNTIF(Vertices[Closeness Centrality],"&gt;= "&amp;L36)-COUNTIF(Vertices[Closeness Centrality],"&gt;="&amp;#REF!)</f>
        <v>1</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3427</v>
      </c>
      <c r="B37" s="35"/>
    </row>
    <row r="38" spans="1:2" ht="15">
      <c r="A38" s="35" t="s">
        <v>3428</v>
      </c>
      <c r="B38" s="35"/>
    </row>
    <row r="39" spans="1:2" ht="15">
      <c r="A39" s="35" t="s">
        <v>3429</v>
      </c>
      <c r="B39" s="35"/>
    </row>
    <row r="40" spans="1:2" ht="15">
      <c r="A40" s="35" t="s">
        <v>21</v>
      </c>
      <c r="B40" s="35"/>
    </row>
    <row r="41" spans="1:2" ht="15">
      <c r="A41" s="35" t="s">
        <v>3430</v>
      </c>
      <c r="B41" s="35" t="s">
        <v>34</v>
      </c>
    </row>
    <row r="42" spans="1:2" ht="15">
      <c r="A42" s="35" t="s">
        <v>3431</v>
      </c>
      <c r="B42" s="35"/>
    </row>
    <row r="43" spans="1:2" ht="15">
      <c r="A43" s="35" t="s">
        <v>3432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174</v>
      </c>
    </row>
    <row r="90" spans="1:2" ht="15">
      <c r="A90" s="34" t="s">
        <v>90</v>
      </c>
      <c r="B90" s="48">
        <f>_xlfn.IFERROR(AVERAGE(Vertices[In-Degree]),NoMetricMessage)</f>
        <v>1.027220630372493</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2</v>
      </c>
    </row>
    <row r="104" spans="1:2" ht="15">
      <c r="A104" s="34" t="s">
        <v>96</v>
      </c>
      <c r="B104" s="48">
        <f>_xlfn.IFERROR(AVERAGE(Vertices[Out-Degree]),NoMetricMessage)</f>
        <v>1.027220630372493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237711.47619</v>
      </c>
    </row>
    <row r="118" spans="1:2" ht="15">
      <c r="A118" s="34" t="s">
        <v>102</v>
      </c>
      <c r="B118" s="48">
        <f>_xlfn.IFERROR(AVERAGE(Vertices[Betweenness Centrality]),NoMetricMessage)</f>
        <v>2322.2378223467053</v>
      </c>
    </row>
    <row r="119" spans="1:2" ht="15">
      <c r="A119" s="34" t="s">
        <v>103</v>
      </c>
      <c r="B119" s="48">
        <f>_xlfn.IFERROR(MEDIAN(Vertices[Betweenness Centrality]),NoMetricMessage)</f>
        <v>0</v>
      </c>
    </row>
    <row r="130" spans="1:2" ht="15">
      <c r="A130" s="34" t="s">
        <v>106</v>
      </c>
      <c r="B130" s="48">
        <f>IF(COUNT(Vertices[Closeness Centrality])&gt;0,L2,NoMetricMessage)</f>
        <v>0.001913</v>
      </c>
    </row>
    <row r="131" spans="1:2" ht="15">
      <c r="A131" s="34" t="s">
        <v>107</v>
      </c>
      <c r="B131" s="48">
        <f>IF(COUNT(Vertices[Closeness Centrality])&gt;0,L36,NoMetricMessage)</f>
        <v>0.344637</v>
      </c>
    </row>
    <row r="132" spans="1:2" ht="15">
      <c r="A132" s="34" t="s">
        <v>108</v>
      </c>
      <c r="B132" s="48">
        <f>_xlfn.IFERROR(AVERAGE(Vertices[Closeness Centrality]),NoMetricMessage)</f>
        <v>0.22425310028653386</v>
      </c>
    </row>
    <row r="133" spans="1:2" ht="15">
      <c r="A133" s="34" t="s">
        <v>109</v>
      </c>
      <c r="B133" s="48">
        <f>_xlfn.IFERROR(MEDIAN(Vertices[Closeness Centrality]),NoMetricMessage)</f>
        <v>0.220844</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24">
      <selection activeCell="P26" sqref="P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3379</v>
      </c>
    </row>
    <row r="6" spans="1:18" ht="409.5">
      <c r="A6">
        <v>0</v>
      </c>
      <c r="B6" s="1" t="s">
        <v>136</v>
      </c>
      <c r="C6">
        <v>1</v>
      </c>
      <c r="D6" t="s">
        <v>59</v>
      </c>
      <c r="E6" t="s">
        <v>59</v>
      </c>
      <c r="F6">
        <v>0</v>
      </c>
      <c r="H6" t="s">
        <v>71</v>
      </c>
      <c r="J6" t="s">
        <v>173</v>
      </c>
      <c r="K6" s="13" t="s">
        <v>3380</v>
      </c>
      <c r="R6" t="s">
        <v>129</v>
      </c>
    </row>
    <row r="7" spans="1:11" ht="409.5">
      <c r="A7">
        <v>2</v>
      </c>
      <c r="B7">
        <v>1</v>
      </c>
      <c r="C7">
        <v>0</v>
      </c>
      <c r="D7" t="s">
        <v>60</v>
      </c>
      <c r="E7" t="s">
        <v>60</v>
      </c>
      <c r="F7">
        <v>2</v>
      </c>
      <c r="H7" t="s">
        <v>72</v>
      </c>
      <c r="J7" t="s">
        <v>174</v>
      </c>
      <c r="K7" s="13" t="s">
        <v>3381</v>
      </c>
    </row>
    <row r="8" spans="1:11" ht="409.5">
      <c r="A8"/>
      <c r="B8">
        <v>2</v>
      </c>
      <c r="C8">
        <v>2</v>
      </c>
      <c r="D8" t="s">
        <v>61</v>
      </c>
      <c r="E8" t="s">
        <v>61</v>
      </c>
      <c r="H8" t="s">
        <v>73</v>
      </c>
      <c r="J8" t="s">
        <v>175</v>
      </c>
      <c r="K8" s="13" t="s">
        <v>5048</v>
      </c>
    </row>
    <row r="9" spans="1:11" ht="409.5">
      <c r="A9"/>
      <c r="B9">
        <v>3</v>
      </c>
      <c r="C9">
        <v>4</v>
      </c>
      <c r="D9" t="s">
        <v>62</v>
      </c>
      <c r="E9" t="s">
        <v>62</v>
      </c>
      <c r="H9" t="s">
        <v>74</v>
      </c>
      <c r="J9" t="s">
        <v>176</v>
      </c>
      <c r="K9" s="13" t="s">
        <v>5049</v>
      </c>
    </row>
    <row r="10" spans="1:11" ht="15">
      <c r="A10"/>
      <c r="B10">
        <v>4</v>
      </c>
      <c r="D10" t="s">
        <v>63</v>
      </c>
      <c r="E10" t="s">
        <v>63</v>
      </c>
      <c r="H10" t="s">
        <v>75</v>
      </c>
      <c r="J10" t="s">
        <v>177</v>
      </c>
      <c r="K10" s="83" t="s">
        <v>5050</v>
      </c>
    </row>
    <row r="11" spans="1:11" ht="15">
      <c r="A11"/>
      <c r="B11">
        <v>5</v>
      </c>
      <c r="D11" t="s">
        <v>46</v>
      </c>
      <c r="E11">
        <v>1</v>
      </c>
      <c r="H11" t="s">
        <v>76</v>
      </c>
      <c r="J11" t="s">
        <v>178</v>
      </c>
      <c r="K11" t="s">
        <v>5051</v>
      </c>
    </row>
    <row r="12" spans="1:11" ht="15">
      <c r="A12"/>
      <c r="B12"/>
      <c r="D12" t="s">
        <v>64</v>
      </c>
      <c r="E12">
        <v>2</v>
      </c>
      <c r="H12">
        <v>0</v>
      </c>
      <c r="J12" t="s">
        <v>179</v>
      </c>
      <c r="K12" t="s">
        <v>5052</v>
      </c>
    </row>
    <row r="13" spans="1:11" ht="15">
      <c r="A13"/>
      <c r="B13"/>
      <c r="D13">
        <v>1</v>
      </c>
      <c r="E13">
        <v>3</v>
      </c>
      <c r="H13">
        <v>1</v>
      </c>
      <c r="J13" t="s">
        <v>180</v>
      </c>
      <c r="K13" t="s">
        <v>5053</v>
      </c>
    </row>
    <row r="14" spans="4:11" ht="15">
      <c r="D14">
        <v>2</v>
      </c>
      <c r="E14">
        <v>4</v>
      </c>
      <c r="H14">
        <v>2</v>
      </c>
      <c r="J14" t="s">
        <v>181</v>
      </c>
      <c r="K14" t="s">
        <v>5054</v>
      </c>
    </row>
    <row r="15" spans="4:11" ht="15">
      <c r="D15">
        <v>3</v>
      </c>
      <c r="E15">
        <v>5</v>
      </c>
      <c r="H15">
        <v>3</v>
      </c>
      <c r="J15" t="s">
        <v>182</v>
      </c>
      <c r="K15" t="s">
        <v>5055</v>
      </c>
    </row>
    <row r="16" spans="4:11" ht="15">
      <c r="D16">
        <v>4</v>
      </c>
      <c r="E16">
        <v>6</v>
      </c>
      <c r="H16">
        <v>4</v>
      </c>
      <c r="J16" t="s">
        <v>183</v>
      </c>
      <c r="K16" t="s">
        <v>5056</v>
      </c>
    </row>
    <row r="17" spans="4:11" ht="15">
      <c r="D17">
        <v>5</v>
      </c>
      <c r="E17">
        <v>7</v>
      </c>
      <c r="H17">
        <v>5</v>
      </c>
      <c r="J17" t="s">
        <v>184</v>
      </c>
      <c r="K17" t="s">
        <v>5057</v>
      </c>
    </row>
    <row r="18" spans="4:11" ht="15">
      <c r="D18">
        <v>6</v>
      </c>
      <c r="E18">
        <v>8</v>
      </c>
      <c r="H18">
        <v>6</v>
      </c>
      <c r="J18" t="s">
        <v>185</v>
      </c>
      <c r="K18" t="s">
        <v>5058</v>
      </c>
    </row>
    <row r="19" spans="4:11" ht="15">
      <c r="D19">
        <v>7</v>
      </c>
      <c r="E19">
        <v>9</v>
      </c>
      <c r="H19">
        <v>7</v>
      </c>
      <c r="J19" t="s">
        <v>186</v>
      </c>
      <c r="K19" t="s">
        <v>5059</v>
      </c>
    </row>
    <row r="20" spans="4:11" ht="15">
      <c r="D20">
        <v>8</v>
      </c>
      <c r="H20">
        <v>8</v>
      </c>
      <c r="J20" t="s">
        <v>187</v>
      </c>
      <c r="K20" t="s">
        <v>5060</v>
      </c>
    </row>
    <row r="21" spans="4:11" ht="409.5">
      <c r="D21">
        <v>9</v>
      </c>
      <c r="H21">
        <v>9</v>
      </c>
      <c r="J21" t="s">
        <v>188</v>
      </c>
      <c r="K21" s="13" t="s">
        <v>5061</v>
      </c>
    </row>
    <row r="22" spans="4:11" ht="409.5">
      <c r="D22">
        <v>10</v>
      </c>
      <c r="J22" t="s">
        <v>189</v>
      </c>
      <c r="K22" s="13" t="s">
        <v>5062</v>
      </c>
    </row>
    <row r="23" spans="4:11" ht="409.5">
      <c r="D23">
        <v>11</v>
      </c>
      <c r="J23" t="s">
        <v>190</v>
      </c>
      <c r="K23" s="13" t="s">
        <v>5065</v>
      </c>
    </row>
    <row r="24" spans="10:11" ht="15">
      <c r="J24" t="s">
        <v>191</v>
      </c>
      <c r="K24">
        <v>19</v>
      </c>
    </row>
    <row r="25" spans="10:11" ht="15">
      <c r="J25" t="s">
        <v>193</v>
      </c>
      <c r="K25" t="s">
        <v>5047</v>
      </c>
    </row>
    <row r="26" spans="10:11" ht="409.5">
      <c r="J26" t="s">
        <v>194</v>
      </c>
      <c r="K26" s="13" t="s">
        <v>3403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FEFFD-6FCD-4226-B22F-7BA85CD4341D}">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34" t="s">
        <v>42</v>
      </c>
    </row>
    <row r="2" spans="1:3" ht="15" customHeight="1">
      <c r="A2" s="13" t="s">
        <v>3413</v>
      </c>
      <c r="B2" s="114" t="s">
        <v>3414</v>
      </c>
      <c r="C2" s="55" t="s">
        <v>3415</v>
      </c>
    </row>
    <row r="3" spans="1:3" ht="15">
      <c r="A3" s="113" t="s">
        <v>3382</v>
      </c>
      <c r="B3" s="113" t="s">
        <v>3382</v>
      </c>
      <c r="C3" s="35">
        <v>193</v>
      </c>
    </row>
    <row r="4" spans="1:3" ht="15">
      <c r="A4" s="113" t="s">
        <v>3383</v>
      </c>
      <c r="B4" s="113" t="s">
        <v>3382</v>
      </c>
      <c r="C4" s="35">
        <v>7</v>
      </c>
    </row>
    <row r="5" spans="1:3" ht="15">
      <c r="A5" s="113" t="s">
        <v>3383</v>
      </c>
      <c r="B5" s="113" t="s">
        <v>3383</v>
      </c>
      <c r="C5" s="35">
        <v>101</v>
      </c>
    </row>
    <row r="6" spans="1:3" ht="15">
      <c r="A6" s="113" t="s">
        <v>3384</v>
      </c>
      <c r="B6" s="113" t="s">
        <v>3384</v>
      </c>
      <c r="C6" s="35">
        <v>100</v>
      </c>
    </row>
    <row r="7" spans="1:3" ht="15">
      <c r="A7" s="113" t="s">
        <v>3384</v>
      </c>
      <c r="B7" s="113" t="s">
        <v>3385</v>
      </c>
      <c r="C7" s="35">
        <v>1</v>
      </c>
    </row>
    <row r="8" spans="1:3" ht="15">
      <c r="A8" s="113" t="s">
        <v>3384</v>
      </c>
      <c r="B8" s="113" t="s">
        <v>3387</v>
      </c>
      <c r="C8" s="35">
        <v>1</v>
      </c>
    </row>
    <row r="9" spans="1:3" ht="15">
      <c r="A9" s="113" t="s">
        <v>3385</v>
      </c>
      <c r="B9" s="113" t="s">
        <v>3385</v>
      </c>
      <c r="C9" s="35">
        <v>97</v>
      </c>
    </row>
    <row r="10" spans="1:3" ht="15">
      <c r="A10" s="113" t="s">
        <v>3385</v>
      </c>
      <c r="B10" s="113" t="s">
        <v>3387</v>
      </c>
      <c r="C10" s="35">
        <v>3</v>
      </c>
    </row>
    <row r="11" spans="1:3" ht="15">
      <c r="A11" s="113" t="s">
        <v>3386</v>
      </c>
      <c r="B11" s="113" t="s">
        <v>3385</v>
      </c>
      <c r="C11" s="35">
        <v>2</v>
      </c>
    </row>
    <row r="12" spans="1:3" ht="15">
      <c r="A12" s="113" t="s">
        <v>3386</v>
      </c>
      <c r="B12" s="113" t="s">
        <v>3386</v>
      </c>
      <c r="C12" s="35">
        <v>103</v>
      </c>
    </row>
    <row r="13" spans="1:3" ht="15">
      <c r="A13" s="113" t="s">
        <v>3386</v>
      </c>
      <c r="B13" s="113" t="s">
        <v>3387</v>
      </c>
      <c r="C13" s="35">
        <v>3</v>
      </c>
    </row>
    <row r="14" spans="1:3" ht="15">
      <c r="A14" s="113" t="s">
        <v>3387</v>
      </c>
      <c r="B14" s="113" t="s">
        <v>3382</v>
      </c>
      <c r="C14" s="35">
        <v>2</v>
      </c>
    </row>
    <row r="15" spans="1:3" ht="15">
      <c r="A15" s="113" t="s">
        <v>3387</v>
      </c>
      <c r="B15" s="113" t="s">
        <v>3383</v>
      </c>
      <c r="C15" s="35">
        <v>1</v>
      </c>
    </row>
    <row r="16" spans="1:3" ht="15">
      <c r="A16" s="113" t="s">
        <v>3387</v>
      </c>
      <c r="B16" s="113" t="s">
        <v>3387</v>
      </c>
      <c r="C16" s="35">
        <v>94</v>
      </c>
    </row>
    <row r="17" spans="1:3" ht="15">
      <c r="A17" s="113" t="s">
        <v>3388</v>
      </c>
      <c r="B17" s="113" t="s">
        <v>3382</v>
      </c>
      <c r="C17" s="35">
        <v>3</v>
      </c>
    </row>
    <row r="18" spans="1:3" ht="15">
      <c r="A18" s="113" t="s">
        <v>3388</v>
      </c>
      <c r="B18" s="113" t="s">
        <v>3383</v>
      </c>
      <c r="C18" s="35">
        <v>1</v>
      </c>
    </row>
    <row r="19" spans="1:3" ht="15">
      <c r="A19" s="113" t="s">
        <v>3388</v>
      </c>
      <c r="B19" s="113" t="s">
        <v>3384</v>
      </c>
      <c r="C19" s="35">
        <v>1</v>
      </c>
    </row>
    <row r="20" spans="1:3" ht="15">
      <c r="A20" s="113" t="s">
        <v>3388</v>
      </c>
      <c r="B20" s="113" t="s">
        <v>3385</v>
      </c>
      <c r="C20" s="35">
        <v>1</v>
      </c>
    </row>
    <row r="21" spans="1:3" ht="15">
      <c r="A21" s="113" t="s">
        <v>3388</v>
      </c>
      <c r="B21" s="113" t="s">
        <v>3388</v>
      </c>
      <c r="C21" s="35">
        <v>67</v>
      </c>
    </row>
    <row r="22" spans="1:3" ht="15">
      <c r="A22" s="113" t="s">
        <v>3389</v>
      </c>
      <c r="B22" s="113" t="s">
        <v>3389</v>
      </c>
      <c r="C22" s="35">
        <v>4</v>
      </c>
    </row>
    <row r="23" spans="1:3" ht="15">
      <c r="A23" s="113" t="s">
        <v>3390</v>
      </c>
      <c r="B23" s="113" t="s">
        <v>3390</v>
      </c>
      <c r="C23" s="35">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D625-18F9-40E0-B30F-04344B91391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3439</v>
      </c>
      <c r="B1" s="13" t="s">
        <v>17</v>
      </c>
    </row>
    <row r="2" spans="1:2" ht="15">
      <c r="A2" s="81" t="s">
        <v>3440</v>
      </c>
      <c r="B2" s="81"/>
    </row>
    <row r="3" spans="1:2" ht="15">
      <c r="A3" s="82" t="s">
        <v>3441</v>
      </c>
      <c r="B3" s="81"/>
    </row>
    <row r="4" spans="1:2" ht="15">
      <c r="A4" s="82" t="s">
        <v>3442</v>
      </c>
      <c r="B4" s="81"/>
    </row>
    <row r="5" spans="1:2" ht="15">
      <c r="A5" s="82" t="s">
        <v>3443</v>
      </c>
      <c r="B5" s="81"/>
    </row>
    <row r="6" spans="1:2" ht="15">
      <c r="A6" s="82" t="s">
        <v>3444</v>
      </c>
      <c r="B6" s="81"/>
    </row>
    <row r="7" spans="1:2" ht="15">
      <c r="A7" s="82" t="s">
        <v>3445</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BB721C-4DA4-4432-84BF-8E876EADD1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2024-01-20T05:20:34Z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